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 Id="rId4" Type="http://schemas.openxmlformats.org/officeDocument/2006/relationships/custom-properties" Target="docProps/custom.xml" /><Relationship Id="rId5" Type="http://schemas.microsoft.com/office/2020/02/relationships/classificationlabels" Target="docMetadata/LabelInfo.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C:\Users\mp5997\Documents\"/>
    </mc:Choice>
  </mc:AlternateContent>
  <xr:revisionPtr revIDLastSave="0" documentId="13_ncr:1_{EE51010E-B8E6-48E7-8861-83604DBC4BB3}" xr6:coauthVersionLast="47" xr6:coauthVersionMax="47" xr10:uidLastSave="{00000000-0000-0000-0000-000000000000}"/>
  <bookViews>
    <workbookView xWindow="-108" yWindow="-108" windowWidth="23256" windowHeight="12456" tabRatio="790" firstSheet="22" activeTab="25" xr2:uid="{00000000-000D-0000-FFFF-FFFF00000000}"/>
  </bookViews>
  <sheets>
    <sheet name="General Instructions" sheetId="20" r:id="rId1"/>
    <sheet name="Submisson Dates" sheetId="21" r:id="rId2"/>
    <sheet name="Template Instruction" sheetId="19" r:id="rId3"/>
    <sheet name="Rating Category Definitions" sheetId="41" r:id="rId4"/>
    <sheet name="Medical Services Definitions" sheetId="34" r:id="rId5"/>
    <sheet name="COS Specification" sheetId="51" r:id="rId6"/>
    <sheet name="COS Technical Specifications" sheetId="42" r:id="rId7"/>
    <sheet name="Schedule 1_Enrollment" sheetId="39" r:id="rId8"/>
    <sheet name="Schedule 2_Balance Sheet" sheetId="12" r:id="rId9"/>
    <sheet name="Schedule 3A_Income Statement" sheetId="36" r:id="rId10"/>
    <sheet name="Schedule 3B_Income_Eastern" sheetId="37" r:id="rId11"/>
    <sheet name="Schedule 3C_Income_Western" sheetId="53" r:id="rId12"/>
    <sheet name="Schedule 3D_Income_The Cape" sheetId="54" r:id="rId13"/>
    <sheet name="4_Footnotes" sheetId="50" r:id="rId14"/>
    <sheet name="Schedule 5_Cash Flow" sheetId="13" r:id="rId15"/>
    <sheet name="Schedule 6_Medical Expense" sheetId="40" r:id="rId16"/>
    <sheet name="Schedule 7_Utilization" sheetId="28" r:id="rId17"/>
    <sheet name="Schedule 8_Indicators" sheetId="6" r:id="rId18"/>
    <sheet name="Schedule 9_Solvency Req." sheetId="7" r:id="rId19"/>
    <sheet name="Schedule 10_APMs" sheetId="49" r:id="rId20"/>
    <sheet name="11A_Lag Report Physician" sheetId="44" r:id="rId21"/>
    <sheet name="11B_Lag Report Inpatient" sheetId="45" r:id="rId22"/>
    <sheet name="11C_Lag Report Outpatient" sheetId="46" r:id="rId23"/>
    <sheet name="11D_Lag Report Pharmacy" sheetId="47" r:id="rId24"/>
    <sheet name="11E_Lag Report Other" sheetId="48" r:id="rId25"/>
    <sheet name="Schedule 12_Certification" sheetId="8" r:id="rId26"/>
    <sheet name="Notes" sheetId="11" r:id="rId27"/>
    <sheet name="ChangeLog" sheetId="52" r:id="rId28"/>
    <sheet name="ICO MS" sheetId="2" state="hidden" r:id="rId29"/>
  </sheets>
  <externalReferences>
    <externalReference r:id="rId30"/>
    <externalReference r:id="rId31"/>
    <externalReference r:id="rId32"/>
  </externalReferences>
  <definedNames>
    <definedName name="__123Graph_A" hidden="1">[1]General!$AC$35:$AO$35</definedName>
    <definedName name="__123Graph_AAUTHS" hidden="1">[1]General!$AC$57:$AC$65</definedName>
    <definedName name="__123Graph_AIPIBNR" hidden="1">#REF!</definedName>
    <definedName name="__123Graph_ATOTAL" hidden="1">[1]General!$AC$10:$AO$10</definedName>
    <definedName name="__123Graph_ATYPEA" hidden="1">#REF!</definedName>
    <definedName name="__123Graph_ATYPED" hidden="1">#REF!</definedName>
    <definedName name="__123Graph_ATYPEE" hidden="1">[1]General!$AC$20:$AO$20</definedName>
    <definedName name="__123Graph_ATYPEI" hidden="1">#REF!</definedName>
    <definedName name="__123Graph_ATYPEM" hidden="1">#REF!</definedName>
    <definedName name="__123Graph_ATYPEP" hidden="1">#REF!</definedName>
    <definedName name="__123Graph_ATYPER" hidden="1">#REF!</definedName>
    <definedName name="__123Graph_ATYPESUM" hidden="1">#REF!</definedName>
    <definedName name="__123Graph_B" hidden="1">[1]General!$AC$14:$AO$14</definedName>
    <definedName name="__123Graph_BAUTHS" hidden="1">#REF!</definedName>
    <definedName name="__123Graph_BTOTAL" hidden="1">#REF!</definedName>
    <definedName name="__123Graph_BTYPED" hidden="1">#REF!</definedName>
    <definedName name="__123Graph_BTYPEE" hidden="1">#REF!</definedName>
    <definedName name="__123Graph_BTYPEI" hidden="1">#REF!</definedName>
    <definedName name="__123Graph_BTYPEM" hidden="1">#REF!</definedName>
    <definedName name="__123Graph_BTYPEP" hidden="1">#REF!</definedName>
    <definedName name="__123Graph_BTYPER" hidden="1">#REF!</definedName>
    <definedName name="__123Graph_BTYPESUM" hidden="1">#REF!</definedName>
    <definedName name="__123Graph_CAUTHS" hidden="1">#REF!</definedName>
    <definedName name="__123Graph_CTOTAL" hidden="1">#REF!</definedName>
    <definedName name="__123Graph_DAUTHS" hidden="1">[1]General!$AG$57:$AG$65</definedName>
    <definedName name="__123Graph_DIPIBNR" hidden="1">#REF!</definedName>
    <definedName name="__123Graph_DTOTAL" hidden="1">#REF!</definedName>
    <definedName name="__123Graph_EAUTHS" hidden="1">#REF!</definedName>
    <definedName name="__123Graph_ETOTAL" hidden="1">#REF!</definedName>
    <definedName name="__123Graph_FAUTHS" hidden="1">#REF!</definedName>
    <definedName name="__123Graph_FTOTAL" hidden="1">#REF!</definedName>
    <definedName name="__123Graph_LBL_A" hidden="1">#REF!</definedName>
    <definedName name="__123Graph_LBL_AIPIBNR" hidden="1">#REF!</definedName>
    <definedName name="__123Graph_LBL_ATYPEA" hidden="1">#REF!</definedName>
    <definedName name="__123Graph_LBL_ATYPED" hidden="1">#REF!</definedName>
    <definedName name="__123Graph_LBL_ATYPEE" hidden="1">#REF!</definedName>
    <definedName name="__123Graph_LBL_ATYPEI" hidden="1">#REF!</definedName>
    <definedName name="__123Graph_LBL_ATYPEM" hidden="1">#REF!</definedName>
    <definedName name="__123Graph_LBL_ATYPEP" hidden="1">#REF!</definedName>
    <definedName name="__123Graph_LBL_ATYPER" hidden="1">#REF!</definedName>
    <definedName name="__123Graph_LBL_ATYPESUM" hidden="1">#REF!</definedName>
    <definedName name="__123Graph_LBL_B" hidden="1">#REF!</definedName>
    <definedName name="__123Graph_LBL_BTYPED" hidden="1">#REF!</definedName>
    <definedName name="__123Graph_LBL_BTYPEE" hidden="1">#REF!</definedName>
    <definedName name="__123Graph_LBL_BTYPEI" hidden="1">#REF!</definedName>
    <definedName name="__123Graph_LBL_BTYPEM" hidden="1">#REF!</definedName>
    <definedName name="__123Graph_LBL_BTYPEP" hidden="1">#REF!</definedName>
    <definedName name="__123Graph_LBL_BTYPER" hidden="1">#REF!</definedName>
    <definedName name="__123Graph_LBL_BTYPESUM" hidden="1">[1]General!$AC$15:$AO$15</definedName>
    <definedName name="__123Graph_LBL_DIPIBNR" hidden="1">#REF!</definedName>
    <definedName name="__123Graph_XAUTHS" hidden="1">#REF!</definedName>
    <definedName name="__123Graph_XIPIBNR" hidden="1">#REF!</definedName>
    <definedName name="__123Graph_XTOTAL" hidden="1">#REF!</definedName>
    <definedName name="_xlnm._FilterDatabase" localSheetId="5" hidden="1">'COS Specification'!$A$7:$G$101</definedName>
    <definedName name="_xlnm._FilterDatabase" localSheetId="6" hidden="1">'COS Technical Specifications'!$A$3:$H$82</definedName>
    <definedName name="_Key1" localSheetId="13" hidden="1">#REF!</definedName>
    <definedName name="_Key1" localSheetId="5" hidden="1">#REF!</definedName>
    <definedName name="_Key1" localSheetId="7" hidden="1">#REF!</definedName>
    <definedName name="_Key1" localSheetId="9" hidden="1">#REF!</definedName>
    <definedName name="_Key1" localSheetId="10" hidden="1">#REF!</definedName>
    <definedName name="_Key1" localSheetId="11" hidden="1">#REF!</definedName>
    <definedName name="_Key1" localSheetId="12" hidden="1">#REF!</definedName>
    <definedName name="_Key1" hidden="1">#REF!</definedName>
    <definedName name="_Key2" localSheetId="13" hidden="1">#REF!</definedName>
    <definedName name="_Key2" localSheetId="5" hidden="1">#REF!</definedName>
    <definedName name="_Key2" localSheetId="7" hidden="1">#REF!</definedName>
    <definedName name="_Key2" localSheetId="9" hidden="1">#REF!</definedName>
    <definedName name="_Key2" localSheetId="10" hidden="1">#REF!</definedName>
    <definedName name="_Key2" localSheetId="11" hidden="1">#REF!</definedName>
    <definedName name="_Key2" localSheetId="12" hidden="1">#REF!</definedName>
    <definedName name="_Key2" hidden="1">#REF!</definedName>
    <definedName name="_May15">5</definedName>
    <definedName name="_one94" localSheetId="13">#REF!</definedName>
    <definedName name="_one94" localSheetId="5">#REF!</definedName>
    <definedName name="_one94" localSheetId="19">#REF!</definedName>
    <definedName name="_one94" localSheetId="11">#REF!</definedName>
    <definedName name="_one94" localSheetId="12">#REF!</definedName>
    <definedName name="_one94">#REF!</definedName>
    <definedName name="_Order1" hidden="1">255</definedName>
    <definedName name="_Order2" hidden="1">255</definedName>
    <definedName name="_Sort" localSheetId="13" hidden="1">#REF!</definedName>
    <definedName name="_Sort" localSheetId="5" hidden="1">#REF!</definedName>
    <definedName name="_Sort" localSheetId="7" hidden="1">#REF!</definedName>
    <definedName name="_Sort" localSheetId="9" hidden="1">#REF!</definedName>
    <definedName name="_Sort" localSheetId="10" hidden="1">#REF!</definedName>
    <definedName name="_Sort" localSheetId="11" hidden="1">#REF!</definedName>
    <definedName name="_Sort" localSheetId="12" hidden="1">#REF!</definedName>
    <definedName name="_Sort" hidden="1">#REF!</definedName>
    <definedName name="agmc6" localSheetId="13">'[2]Page 1'!#REF!</definedName>
    <definedName name="agmc6" localSheetId="27">'[2]Page 1'!#REF!</definedName>
    <definedName name="agmc6" localSheetId="5">#REF!</definedName>
    <definedName name="agmc6" localSheetId="19">'[2]Page 1'!#REF!</definedName>
    <definedName name="agmc6" localSheetId="11">'[2]Page 1'!#REF!</definedName>
    <definedName name="agmc6" localSheetId="12">'[2]Page 1'!#REF!</definedName>
    <definedName name="agmc6">#REF!</definedName>
    <definedName name="April12">300</definedName>
    <definedName name="April15">4</definedName>
    <definedName name="April9">300</definedName>
    <definedName name="August14">400</definedName>
    <definedName name="August15">8</definedName>
    <definedName name="Calendar" localSheetId="13">#REF!</definedName>
    <definedName name="Calendar" localSheetId="5">#REF!</definedName>
    <definedName name="Calendar" localSheetId="19">#REF!</definedName>
    <definedName name="Calendar" localSheetId="11">#REF!</definedName>
    <definedName name="Calendar" localSheetId="12">#REF!</definedName>
    <definedName name="Calendar">#REF!</definedName>
    <definedName name="ClaimsProcsd" localSheetId="13">#REF!</definedName>
    <definedName name="ClaimsProcsd" localSheetId="5">#REF!</definedName>
    <definedName name="ClaimsProcsd" localSheetId="19">#REF!</definedName>
    <definedName name="ClaimsProcsd" localSheetId="11">#REF!</definedName>
    <definedName name="ClaimsProcsd" localSheetId="12">#REF!</definedName>
    <definedName name="ClaimsProcsd">#REF!</definedName>
    <definedName name="combobox">"Drop Down 3"</definedName>
    <definedName name="CoPay_IP" localSheetId="13">#REF!</definedName>
    <definedName name="CoPay_IP" localSheetId="5">#REF!</definedName>
    <definedName name="CoPay_IP" localSheetId="19">#REF!</definedName>
    <definedName name="CoPay_IP" localSheetId="11">#REF!</definedName>
    <definedName name="CoPay_IP" localSheetId="12">#REF!</definedName>
    <definedName name="CoPay_IP">#REF!</definedName>
    <definedName name="CoPay_Other" localSheetId="13">#REF!</definedName>
    <definedName name="CoPay_Other" localSheetId="5">#REF!</definedName>
    <definedName name="CoPay_Other" localSheetId="19">#REF!</definedName>
    <definedName name="CoPay_Other" localSheetId="11">#REF!</definedName>
    <definedName name="CoPay_Other" localSheetId="12">#REF!</definedName>
    <definedName name="CoPay_Other">#REF!</definedName>
    <definedName name="CoPay_Rx" localSheetId="13">#REF!</definedName>
    <definedName name="CoPay_Rx" localSheetId="5">#REF!</definedName>
    <definedName name="CoPay_Rx" localSheetId="19">#REF!</definedName>
    <definedName name="CoPay_Rx" localSheetId="11">#REF!</definedName>
    <definedName name="CoPay_Rx" localSheetId="12">#REF!</definedName>
    <definedName name="CoPay_Rx">#REF!</definedName>
    <definedName name="CoPay_XrayRad" localSheetId="13">#REF!</definedName>
    <definedName name="CoPay_XrayRad" localSheetId="5">#REF!</definedName>
    <definedName name="CoPay_XrayRad" localSheetId="11">#REF!</definedName>
    <definedName name="CoPay_XrayRad" localSheetId="12">#REF!</definedName>
    <definedName name="CoPay_XrayRad">#REF!</definedName>
    <definedName name="Data" localSheetId="13">#REF!</definedName>
    <definedName name="Data" localSheetId="5">#REF!</definedName>
    <definedName name="Data" localSheetId="11">#REF!</definedName>
    <definedName name="Data" localSheetId="12">#REF!</definedName>
    <definedName name="Data">#REF!</definedName>
    <definedName name="Date1">36740</definedName>
    <definedName name="DC_COS" localSheetId="13">#REF!</definedName>
    <definedName name="DC_COS" localSheetId="5">#REF!</definedName>
    <definedName name="DC_COS" localSheetId="19">#REF!</definedName>
    <definedName name="DC_COS" localSheetId="11">#REF!</definedName>
    <definedName name="DC_COS" localSheetId="12">#REF!</definedName>
    <definedName name="DC_COS">#REF!</definedName>
    <definedName name="December14">400</definedName>
    <definedName name="December15">12</definedName>
    <definedName name="Dept" localSheetId="13">#REF!</definedName>
    <definedName name="Dept" localSheetId="5">#REF!</definedName>
    <definedName name="Dept" localSheetId="19">#REF!</definedName>
    <definedName name="Dept" localSheetId="11">#REF!</definedName>
    <definedName name="Dept" localSheetId="12">#REF!</definedName>
    <definedName name="Dept">#REF!</definedName>
    <definedName name="deptname">"Underwriting"</definedName>
    <definedName name="deptnumber">653</definedName>
    <definedName name="Explanation">1</definedName>
    <definedName name="Explanation1">2</definedName>
    <definedName name="Explanation10">10</definedName>
    <definedName name="Explanation11">2</definedName>
    <definedName name="Explanation12">1</definedName>
    <definedName name="Explanation13">2</definedName>
    <definedName name="Explanation14">3</definedName>
    <definedName name="Explanation15">4</definedName>
    <definedName name="Explanation16">5</definedName>
    <definedName name="Explanation17">7</definedName>
    <definedName name="Explanation1n">"opk"</definedName>
    <definedName name="Explanation1new">5</definedName>
    <definedName name="Explanation2">3</definedName>
    <definedName name="Explanation3">1</definedName>
    <definedName name="Explanation4">2</definedName>
    <definedName name="Explanation5">3</definedName>
    <definedName name="Explanation6">4</definedName>
    <definedName name="Explanation7">5</definedName>
    <definedName name="Explanation8">6</definedName>
    <definedName name="Explanation9">7</definedName>
    <definedName name="February">499.5</definedName>
    <definedName name="February1">400</definedName>
    <definedName name="February10">600</definedName>
    <definedName name="February11">600</definedName>
    <definedName name="February12">300</definedName>
    <definedName name="February15">2</definedName>
    <definedName name="February2">10000</definedName>
    <definedName name="February4">30000</definedName>
    <definedName name="February5">100000</definedName>
    <definedName name="February6">40</definedName>
    <definedName name="February7">500000</definedName>
    <definedName name="February8">500</definedName>
    <definedName name="February9">300</definedName>
    <definedName name="INCSTATEMENT" localSheetId="13">#REF!</definedName>
    <definedName name="INCSTATEMENT" localSheetId="5">#REF!</definedName>
    <definedName name="INCSTATEMENT" localSheetId="19">#REF!</definedName>
    <definedName name="INCSTATEMENT" localSheetId="11">#REF!</definedName>
    <definedName name="INCSTATEMENT" localSheetId="12">#REF!</definedName>
    <definedName name="INCSTATEMENT">#REF!</definedName>
    <definedName name="January">100</definedName>
    <definedName name="January1">100</definedName>
    <definedName name="January10">600</definedName>
    <definedName name="January11">600</definedName>
    <definedName name="January12">300</definedName>
    <definedName name="January15">1</definedName>
    <definedName name="January2">80000</definedName>
    <definedName name="January4">50000</definedName>
    <definedName name="January5">100000</definedName>
    <definedName name="January6">40</definedName>
    <definedName name="January7">500000</definedName>
    <definedName name="January8">500</definedName>
    <definedName name="January9">300</definedName>
    <definedName name="July15">7</definedName>
    <definedName name="June15">6</definedName>
    <definedName name="Link1" localSheetId="13">#REF!</definedName>
    <definedName name="Link1" localSheetId="27">[3]AdministrativeExpenses!#REF!</definedName>
    <definedName name="Link1" localSheetId="5">[3]AdministrativeExpenses!#REF!</definedName>
    <definedName name="Link1" localSheetId="19">#REF!</definedName>
    <definedName name="Link1" localSheetId="11">#REF!</definedName>
    <definedName name="Link1" localSheetId="12">#REF!</definedName>
    <definedName name="Link1">#REF!</definedName>
    <definedName name="Macro10" localSheetId="13">#N/A</definedName>
    <definedName name="Macro10" localSheetId="27">ChangeLog!Macro10</definedName>
    <definedName name="Macro10" localSheetId="19">#N/A</definedName>
    <definedName name="Macro10">'4_Footnotes'!Macro10</definedName>
    <definedName name="macro11" localSheetId="13">#N/A</definedName>
    <definedName name="macro11" localSheetId="27">ChangeLog!macro11</definedName>
    <definedName name="macro11" localSheetId="19">#N/A</definedName>
    <definedName name="macro11">'4_Footnotes'!macro11</definedName>
    <definedName name="macro14" localSheetId="13">#N/A</definedName>
    <definedName name="macro14" localSheetId="27">ChangeLog!macro14</definedName>
    <definedName name="macro14" localSheetId="19">#N/A</definedName>
    <definedName name="macro14">'4_Footnotes'!macro14</definedName>
    <definedName name="Macro4" localSheetId="13">#N/A</definedName>
    <definedName name="Macro4" localSheetId="27">ChangeLog!Macro4</definedName>
    <definedName name="Macro4" localSheetId="19">#N/A</definedName>
    <definedName name="Macro4">'4_Footnotes'!Macro4</definedName>
    <definedName name="Macro5" localSheetId="13">#N/A</definedName>
    <definedName name="Macro5" localSheetId="27">ChangeLog!Macro5</definedName>
    <definedName name="Macro5" localSheetId="19">#N/A</definedName>
    <definedName name="Macro5">'4_Footnotes'!Macro5</definedName>
    <definedName name="Macro6" localSheetId="13">#N/A</definedName>
    <definedName name="Macro6" localSheetId="27">ChangeLog!Macro6</definedName>
    <definedName name="Macro6" localSheetId="19">#N/A</definedName>
    <definedName name="Macro6">'4_Footnotes'!Macro6</definedName>
    <definedName name="March12">300</definedName>
    <definedName name="March15">3</definedName>
    <definedName name="March4">20000</definedName>
    <definedName name="March9">300</definedName>
    <definedName name="New_2005" localSheetId="13">#REF!</definedName>
    <definedName name="New_2005" localSheetId="5">#REF!</definedName>
    <definedName name="New_2005" localSheetId="19">#REF!</definedName>
    <definedName name="New_2005" localSheetId="11">#REF!</definedName>
    <definedName name="New_2005" localSheetId="12">#REF!</definedName>
    <definedName name="New_2005">#REF!</definedName>
    <definedName name="November15">11</definedName>
    <definedName name="October14">400</definedName>
    <definedName name="October15">10</definedName>
    <definedName name="Other">1</definedName>
    <definedName name="Other1">2</definedName>
    <definedName name="Other10">10</definedName>
    <definedName name="Other11">2</definedName>
    <definedName name="Other12">1</definedName>
    <definedName name="Other13">2</definedName>
    <definedName name="Other14">3</definedName>
    <definedName name="Other15">4</definedName>
    <definedName name="Other16">5</definedName>
    <definedName name="Other17">6</definedName>
    <definedName name="Other2">3</definedName>
    <definedName name="other3">1</definedName>
    <definedName name="Other4">2</definedName>
    <definedName name="Other5">3</definedName>
    <definedName name="Other6">4</definedName>
    <definedName name="Other7">5</definedName>
    <definedName name="Other8">6</definedName>
    <definedName name="Other9">7</definedName>
    <definedName name="plancntygrpscores" localSheetId="13">#REF!</definedName>
    <definedName name="plancntygrpscores" localSheetId="5">#REF!</definedName>
    <definedName name="plancntygrpscores" localSheetId="19">#REF!</definedName>
    <definedName name="plancntygrpscores" localSheetId="11">#REF!</definedName>
    <definedName name="plancntygrpscores" localSheetId="12">#REF!</definedName>
    <definedName name="plancntygrpscores">#REF!</definedName>
    <definedName name="previous" localSheetId="13">#REF!</definedName>
    <definedName name="previous" localSheetId="5">#REF!</definedName>
    <definedName name="previous" localSheetId="19">#REF!</definedName>
    <definedName name="previous" localSheetId="11">#REF!</definedName>
    <definedName name="previous" localSheetId="12">#REF!</definedName>
    <definedName name="previous">#REF!</definedName>
    <definedName name="_xlnm.Print_Area" localSheetId="20">'11A_Lag Report Physician'!$A$1:$AH$47</definedName>
    <definedName name="_xlnm.Print_Area" localSheetId="21">'11B_Lag Report Inpatient'!$A$1:$AH$47</definedName>
    <definedName name="_xlnm.Print_Area" localSheetId="22">'11C_Lag Report Outpatient'!$A$1:$AH$47</definedName>
    <definedName name="_xlnm.Print_Area" localSheetId="23">'11D_Lag Report Pharmacy'!$A$1:$AH$47</definedName>
    <definedName name="_xlnm.Print_Area" localSheetId="24">'11E_Lag Report Other'!$A$1:$AH$47</definedName>
    <definedName name="_xlnm.Print_Area" localSheetId="13">'4_Footnotes'!$A$1:$D$28</definedName>
    <definedName name="_xlnm.Print_Area" localSheetId="27">ChangeLog!$A$1:$D$12</definedName>
    <definedName name="_xlnm.Print_Area" localSheetId="8">'Schedule 2_Balance Sheet'!$A$1:$F$96</definedName>
    <definedName name="_xlnm.Print_Area" localSheetId="9">'Schedule 3A_Income Statement'!$A$1:$K$98</definedName>
    <definedName name="_xlnm.Print_Area" localSheetId="10">'Schedule 3B_Income_Eastern'!$A$1:$K$98</definedName>
    <definedName name="_xlnm.Print_Area" localSheetId="11">'Schedule 3C_Income_Western'!$A$1:$K$98</definedName>
    <definedName name="_xlnm.Print_Area" localSheetId="12">'Schedule 3D_Income_The Cape'!$A$1:$K$98</definedName>
    <definedName name="_xlnm.Print_Area" localSheetId="14">'Schedule 5_Cash Flow'!$A$1:$E$47</definedName>
    <definedName name="_xlnm.Print_Area" localSheetId="17">'Schedule 8_Indicators'!$A$1:$E$46</definedName>
    <definedName name="_xlnm.Print_Area" localSheetId="18">'Schedule 9_Solvency Req.'!$A$1:$J$64</definedName>
    <definedName name="Print_Area_MI" localSheetId="13">#REF!</definedName>
    <definedName name="Print_Area_MI" localSheetId="5">#REF!</definedName>
    <definedName name="Print_Area_MI" localSheetId="19">#REF!</definedName>
    <definedName name="Print_Area_MI" localSheetId="11">#REF!</definedName>
    <definedName name="Print_Area_MI" localSheetId="12">#REF!</definedName>
    <definedName name="Print_Area_MI">#REF!</definedName>
    <definedName name="_xlnm.Print_Titles" localSheetId="20">'11A_Lag Report Physician'!$A:$B,'11A_Lag Report Physician'!$1:$6</definedName>
    <definedName name="_xlnm.Print_Titles" localSheetId="21">'11B_Lag Report Inpatient'!$A:$B,'11B_Lag Report Inpatient'!$1:$6</definedName>
    <definedName name="_xlnm.Print_Titles" localSheetId="22">'11C_Lag Report Outpatient'!$A:$B,'11C_Lag Report Outpatient'!$1:$6</definedName>
    <definedName name="_xlnm.Print_Titles" localSheetId="23">'11D_Lag Report Pharmacy'!$A:$B,'11D_Lag Report Pharmacy'!$1:$6</definedName>
    <definedName name="_xlnm.Print_Titles" localSheetId="24">'11E_Lag Report Other'!$A:$B,'11E_Lag Report Other'!$1:$6</definedName>
    <definedName name="_xlnm.Print_Titles" localSheetId="13">'4_Footnotes'!$1:$8</definedName>
    <definedName name="_xlnm.Print_Titles" localSheetId="19">'Schedule 10_APMs'!$2:$8</definedName>
    <definedName name="Prt_Shts" localSheetId="13">#REF!</definedName>
    <definedName name="Prt_Shts" localSheetId="5">#REF!</definedName>
    <definedName name="Prt_Shts" localSheetId="11">#REF!</definedName>
    <definedName name="Prt_Shts" localSheetId="12">#REF!</definedName>
    <definedName name="Prt_Shts">#REF!</definedName>
    <definedName name="Region" localSheetId="13">#REF!</definedName>
    <definedName name="Region" localSheetId="27">#REF!</definedName>
    <definedName name="Region" localSheetId="5">#REF!</definedName>
    <definedName name="Region" localSheetId="19">#REF!</definedName>
    <definedName name="Region" localSheetId="11">#REF!</definedName>
    <definedName name="Region" localSheetId="12">#REF!</definedName>
    <definedName name="Region">#REF!</definedName>
    <definedName name="Regions" localSheetId="13">#REF!</definedName>
    <definedName name="Regions" localSheetId="27">#REF!</definedName>
    <definedName name="Regions" localSheetId="5">#REF!</definedName>
    <definedName name="Regions" localSheetId="19">#REF!</definedName>
    <definedName name="Regions" localSheetId="11">#REF!</definedName>
    <definedName name="Regions" localSheetId="12">#REF!</definedName>
    <definedName name="Regions">#REF!</definedName>
    <definedName name="respmgr">"Charlie"</definedName>
    <definedName name="second" localSheetId="13">#REF!</definedName>
    <definedName name="second" localSheetId="5">#REF!</definedName>
    <definedName name="second" localSheetId="19">#REF!</definedName>
    <definedName name="second" localSheetId="11">#REF!</definedName>
    <definedName name="second" localSheetId="12">#REF!</definedName>
    <definedName name="second">#REF!</definedName>
    <definedName name="September15">9</definedName>
    <definedName name="sum">#REF!</definedName>
    <definedName name="Table_1_Summary" localSheetId="13">#REF!</definedName>
    <definedName name="Table_1_Summary" localSheetId="5">#REF!</definedName>
    <definedName name="Table_1_Summary" localSheetId="19">#REF!</definedName>
    <definedName name="Table_1_Summary" localSheetId="11">#REF!</definedName>
    <definedName name="Table_1_Summary" localSheetId="12">#REF!</definedName>
    <definedName name="Table_1_Summary">#REF!</definedName>
    <definedName name="tblInstDeletionsStateExport" localSheetId="13">#REF!</definedName>
    <definedName name="tblInstDeletionsStateExport" localSheetId="5">#REF!</definedName>
    <definedName name="tblInstDeletionsStateExport" localSheetId="19">#REF!</definedName>
    <definedName name="tblInstDeletionsStateExport" localSheetId="11">#REF!</definedName>
    <definedName name="tblInstDeletionsStateExport" localSheetId="12">#REF!</definedName>
    <definedName name="tblInstDeletionsStateExport">#REF!</definedName>
    <definedName name="tblInstStateExport" localSheetId="13">#REF!</definedName>
    <definedName name="tblInstStateExport" localSheetId="5">#REF!</definedName>
    <definedName name="tblInstStateExport" localSheetId="19">#REF!</definedName>
    <definedName name="tblInstStateExport" localSheetId="11">#REF!</definedName>
    <definedName name="tblInstStateExport" localSheetId="12">#REF!</definedName>
    <definedName name="tblInstStateExport">#REF!</definedName>
    <definedName name="tblProvDeletionsStateExport" localSheetId="13">#REF!</definedName>
    <definedName name="tblProvDeletionsStateExport" localSheetId="5">#REF!</definedName>
    <definedName name="tblProvDeletionsStateExport" localSheetId="11">#REF!</definedName>
    <definedName name="tblProvDeletionsStateExport" localSheetId="12">#REF!</definedName>
    <definedName name="tblProvDeletionsStateExport">#REF!</definedName>
    <definedName name="tblProvStateExport" localSheetId="13">#REF!</definedName>
    <definedName name="tblProvStateExport" localSheetId="5">#REF!</definedName>
    <definedName name="tblProvStateExport" localSheetId="11">#REF!</definedName>
    <definedName name="tblProvStateExport" localSheetId="12">#REF!</definedName>
    <definedName name="tblProvStateExport">#REF!</definedName>
    <definedName name="third" localSheetId="13">#REF!</definedName>
    <definedName name="third" localSheetId="5">#REF!</definedName>
    <definedName name="third" localSheetId="11">#REF!</definedName>
    <definedName name="third" localSheetId="12">#REF!</definedName>
    <definedName name="third">#REF!</definedName>
    <definedName name="wrn.financials." localSheetId="13"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27"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6"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7"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9"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9"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0"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1"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2"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s>
  <calcPr calcId="191029" concurrentManualCount="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1" i="13" l="1"/>
  <c r="D21" i="13"/>
  <c r="C21" i="13"/>
  <c r="B21" i="13"/>
  <c r="E19" i="13" l="1"/>
  <c r="D19" i="13"/>
  <c r="F81" i="12" l="1"/>
  <c r="E81" i="12"/>
  <c r="E23" i="13" l="1"/>
  <c r="E22" i="13"/>
  <c r="E18" i="13"/>
  <c r="E17" i="13"/>
  <c r="D23" i="13" l="1"/>
  <c r="D22" i="13"/>
  <c r="D18" i="13"/>
  <c r="D17" i="13"/>
  <c r="C23" i="13" l="1"/>
  <c r="C22" i="13"/>
  <c r="C19" i="13"/>
  <c r="C17" i="13"/>
  <c r="C18" i="13"/>
  <c r="B19" i="13" l="1"/>
  <c r="D82" i="12" l="1"/>
  <c r="C6" i="12" l="1"/>
  <c r="B23" i="13"/>
  <c r="B22" i="13"/>
  <c r="B18" i="13" l="1"/>
  <c r="B17" i="13"/>
  <c r="I18" i="40" l="1"/>
  <c r="U18" i="40"/>
  <c r="X18" i="40"/>
  <c r="Y18" i="40" l="1"/>
  <c r="AE18" i="40" s="1"/>
  <c r="CA43" i="54"/>
  <c r="BZ43" i="54"/>
  <c r="BY43" i="54"/>
  <c r="BX43" i="54"/>
  <c r="BW43" i="54"/>
  <c r="BV43" i="54"/>
  <c r="BU43" i="54"/>
  <c r="BT43" i="54"/>
  <c r="BR43" i="54"/>
  <c r="BQ43" i="54"/>
  <c r="BP43" i="54"/>
  <c r="BO43" i="54"/>
  <c r="BN43" i="54"/>
  <c r="BM43" i="54"/>
  <c r="BL43" i="54"/>
  <c r="BK43" i="54"/>
  <c r="BG43" i="54" l="1"/>
  <c r="BF43" i="54"/>
  <c r="BE43" i="54"/>
  <c r="BD43" i="54"/>
  <c r="BC43" i="54"/>
  <c r="BB43" i="54"/>
  <c r="BA43" i="54"/>
  <c r="AZ43" i="54"/>
  <c r="AX43" i="54"/>
  <c r="AW43" i="54"/>
  <c r="AV43" i="54"/>
  <c r="AU43" i="54"/>
  <c r="AT43" i="54"/>
  <c r="AS43" i="54"/>
  <c r="AR43" i="54"/>
  <c r="AQ43" i="54"/>
  <c r="AI43" i="54"/>
  <c r="AG43" i="54"/>
  <c r="AM43" i="54"/>
  <c r="AK43" i="54"/>
  <c r="S43" i="54"/>
  <c r="R43" i="54"/>
  <c r="O43" i="54"/>
  <c r="N43" i="54"/>
  <c r="Q43" i="54"/>
  <c r="P43" i="54"/>
  <c r="M43" i="54"/>
  <c r="CA43" i="53"/>
  <c r="BZ43" i="53"/>
  <c r="BY43" i="53"/>
  <c r="BX43" i="53"/>
  <c r="BW43" i="53"/>
  <c r="BV43" i="53"/>
  <c r="BU43" i="53"/>
  <c r="BT43" i="53"/>
  <c r="BR43" i="53"/>
  <c r="BQ43" i="53"/>
  <c r="BP43" i="53"/>
  <c r="BO43" i="53"/>
  <c r="BN43" i="53"/>
  <c r="BM43" i="53"/>
  <c r="BL43" i="53"/>
  <c r="BK43" i="53"/>
  <c r="BG43" i="53"/>
  <c r="BF43" i="53"/>
  <c r="BE43" i="53"/>
  <c r="BD43" i="53"/>
  <c r="BC43" i="53"/>
  <c r="BB43" i="53"/>
  <c r="BA43" i="53"/>
  <c r="AZ43" i="53"/>
  <c r="AX43" i="53"/>
  <c r="AW43" i="53"/>
  <c r="AV43" i="53"/>
  <c r="AU43" i="53"/>
  <c r="AT43" i="53"/>
  <c r="AS43" i="53"/>
  <c r="AR43" i="53"/>
  <c r="AQ43" i="53"/>
  <c r="AI43" i="53"/>
  <c r="AM43" i="53"/>
  <c r="AK43" i="53"/>
  <c r="AG43" i="53"/>
  <c r="S43" i="53"/>
  <c r="P43" i="53"/>
  <c r="O43" i="53"/>
  <c r="R43" i="53"/>
  <c r="Q43" i="53"/>
  <c r="N43" i="53"/>
  <c r="M43" i="53"/>
  <c r="CA43" i="37"/>
  <c r="BX43" i="37"/>
  <c r="BW43" i="37"/>
  <c r="BT43" i="37"/>
  <c r="BR43" i="37"/>
  <c r="BQ43" i="37"/>
  <c r="BP43" i="37"/>
  <c r="BO43" i="37"/>
  <c r="BN43" i="37"/>
  <c r="BM43" i="37"/>
  <c r="BL43" i="37"/>
  <c r="BK43" i="37"/>
  <c r="BZ43" i="37"/>
  <c r="BY43" i="37"/>
  <c r="BV43" i="37"/>
  <c r="BU43" i="37"/>
  <c r="AX43" i="37"/>
  <c r="AW43" i="37"/>
  <c r="AV43" i="37"/>
  <c r="AU43" i="37"/>
  <c r="AT43" i="37"/>
  <c r="AS43" i="37"/>
  <c r="AR43" i="37"/>
  <c r="AQ43" i="37"/>
  <c r="BG43" i="37"/>
  <c r="BF43" i="37"/>
  <c r="BE43" i="37"/>
  <c r="BD43" i="37"/>
  <c r="BC43" i="37"/>
  <c r="BB43" i="37"/>
  <c r="BA43" i="37"/>
  <c r="AZ43" i="37"/>
  <c r="AF43" i="37"/>
  <c r="AD43" i="37"/>
  <c r="AC43" i="37"/>
  <c r="AB43" i="37"/>
  <c r="AA43" i="37"/>
  <c r="Z43" i="37"/>
  <c r="Y43" i="37"/>
  <c r="X43" i="37"/>
  <c r="W43" i="37"/>
  <c r="AM43" i="37"/>
  <c r="AL43" i="37"/>
  <c r="AK43" i="37"/>
  <c r="AJ43" i="37"/>
  <c r="AI43" i="37"/>
  <c r="AH43" i="37"/>
  <c r="AG43" i="37"/>
  <c r="L43" i="37"/>
  <c r="J43" i="37"/>
  <c r="I43" i="37"/>
  <c r="H43" i="37"/>
  <c r="G43" i="37"/>
  <c r="F43" i="37"/>
  <c r="E43" i="37"/>
  <c r="D43" i="37"/>
  <c r="C43" i="37"/>
  <c r="S43" i="37"/>
  <c r="R43" i="37"/>
  <c r="Q43" i="37"/>
  <c r="P43" i="37"/>
  <c r="O43" i="37"/>
  <c r="N43" i="37"/>
  <c r="M43" i="37"/>
  <c r="AS66" i="53" l="1"/>
  <c r="AR66" i="54"/>
  <c r="CG45" i="54"/>
  <c r="AF45" i="36"/>
  <c r="AF44" i="36"/>
  <c r="AJ44" i="36"/>
  <c r="AJ45" i="36"/>
  <c r="AL44" i="36"/>
  <c r="AW66" i="54"/>
  <c r="BF66" i="54"/>
  <c r="BO66" i="53"/>
  <c r="AH45" i="36"/>
  <c r="AH44" i="36"/>
  <c r="AL45" i="36"/>
  <c r="AW14" i="54"/>
  <c r="I14" i="54"/>
  <c r="BD14" i="54"/>
  <c r="L27" i="39"/>
  <c r="BB14" i="54"/>
  <c r="N14" i="54"/>
  <c r="AQ14" i="54"/>
  <c r="L13" i="39"/>
  <c r="CA85" i="36"/>
  <c r="BZ85" i="36"/>
  <c r="BY85" i="36"/>
  <c r="BX85" i="36"/>
  <c r="BW85" i="36"/>
  <c r="BV85" i="36"/>
  <c r="BU85" i="36"/>
  <c r="BT85" i="36"/>
  <c r="CA84" i="36"/>
  <c r="BZ84" i="36"/>
  <c r="BY84" i="36"/>
  <c r="BX84" i="36"/>
  <c r="BW84" i="36"/>
  <c r="BV84" i="36"/>
  <c r="BU84" i="36"/>
  <c r="BT84" i="36"/>
  <c r="CA83" i="36"/>
  <c r="BZ83" i="36"/>
  <c r="BY83" i="36"/>
  <c r="BX83" i="36"/>
  <c r="BW83" i="36"/>
  <c r="BV83" i="36"/>
  <c r="BU83" i="36"/>
  <c r="BT83" i="36"/>
  <c r="CA82" i="36"/>
  <c r="BZ82" i="36"/>
  <c r="BY82" i="36"/>
  <c r="BX82" i="36"/>
  <c r="BW82" i="36"/>
  <c r="BV82" i="36"/>
  <c r="BU82" i="36"/>
  <c r="BT82" i="36"/>
  <c r="CA80" i="36"/>
  <c r="BZ80" i="36"/>
  <c r="BY80" i="36"/>
  <c r="BX80" i="36"/>
  <c r="BW80" i="36"/>
  <c r="BV80" i="36"/>
  <c r="BU80" i="36"/>
  <c r="BT80" i="36"/>
  <c r="CA78" i="36"/>
  <c r="BZ78" i="36"/>
  <c r="BY78" i="36"/>
  <c r="BX78" i="36"/>
  <c r="BW78" i="36"/>
  <c r="BV78" i="36"/>
  <c r="BU78" i="36"/>
  <c r="BT78" i="36"/>
  <c r="CA77" i="36"/>
  <c r="BZ77" i="36"/>
  <c r="BY77" i="36"/>
  <c r="BX77" i="36"/>
  <c r="BW77" i="36"/>
  <c r="BV77" i="36"/>
  <c r="BU77" i="36"/>
  <c r="BT77" i="36"/>
  <c r="CA76" i="36"/>
  <c r="BZ76" i="36"/>
  <c r="BY76" i="36"/>
  <c r="BX76" i="36"/>
  <c r="BW76" i="36"/>
  <c r="BV76" i="36"/>
  <c r="BU76" i="36"/>
  <c r="BT76" i="36"/>
  <c r="BR85" i="36"/>
  <c r="BQ85" i="36"/>
  <c r="BP85" i="36"/>
  <c r="BO85" i="36"/>
  <c r="BN85" i="36"/>
  <c r="BM85" i="36"/>
  <c r="BL85" i="36"/>
  <c r="BK85" i="36"/>
  <c r="BR84" i="36"/>
  <c r="BQ84" i="36"/>
  <c r="BP84" i="36"/>
  <c r="BO84" i="36"/>
  <c r="BN84" i="36"/>
  <c r="BM84" i="36"/>
  <c r="BL84" i="36"/>
  <c r="BK84" i="36"/>
  <c r="BR83" i="36"/>
  <c r="BQ83" i="36"/>
  <c r="BP83" i="36"/>
  <c r="BO83" i="36"/>
  <c r="BN83" i="36"/>
  <c r="BM83" i="36"/>
  <c r="BL83" i="36"/>
  <c r="BK83" i="36"/>
  <c r="BR82" i="36"/>
  <c r="BQ82" i="36"/>
  <c r="BP82" i="36"/>
  <c r="BO82" i="36"/>
  <c r="BN82" i="36"/>
  <c r="BM82" i="36"/>
  <c r="BL82" i="36"/>
  <c r="BK82" i="36"/>
  <c r="BR80" i="36"/>
  <c r="BQ80" i="36"/>
  <c r="BP80" i="36"/>
  <c r="BO80" i="36"/>
  <c r="BN80" i="36"/>
  <c r="BM80" i="36"/>
  <c r="BL80" i="36"/>
  <c r="BK80" i="36"/>
  <c r="BR78" i="36"/>
  <c r="BQ78" i="36"/>
  <c r="BP78" i="36"/>
  <c r="BO78" i="36"/>
  <c r="BN78" i="36"/>
  <c r="BM78" i="36"/>
  <c r="BL78" i="36"/>
  <c r="BK78" i="36"/>
  <c r="BR77" i="36"/>
  <c r="BQ77" i="36"/>
  <c r="BP77" i="36"/>
  <c r="BO77" i="36"/>
  <c r="BN77" i="36"/>
  <c r="BM77" i="36"/>
  <c r="BL77" i="36"/>
  <c r="BK77" i="36"/>
  <c r="BR76" i="36"/>
  <c r="BQ76" i="36"/>
  <c r="BP76" i="36"/>
  <c r="BO76" i="36"/>
  <c r="BN76" i="36"/>
  <c r="BM76" i="36"/>
  <c r="BL76" i="36"/>
  <c r="BK76" i="36"/>
  <c r="BG85" i="36"/>
  <c r="BF85" i="36"/>
  <c r="BE85" i="36"/>
  <c r="BD85" i="36"/>
  <c r="BC85" i="36"/>
  <c r="BB85" i="36"/>
  <c r="BA85" i="36"/>
  <c r="AZ85" i="36"/>
  <c r="BG84" i="36"/>
  <c r="BF84" i="36"/>
  <c r="BE84" i="36"/>
  <c r="BD84" i="36"/>
  <c r="BC84" i="36"/>
  <c r="BB84" i="36"/>
  <c r="BA84" i="36"/>
  <c r="AZ84" i="36"/>
  <c r="BG83" i="36"/>
  <c r="BF83" i="36"/>
  <c r="BE83" i="36"/>
  <c r="BD83" i="36"/>
  <c r="BC83" i="36"/>
  <c r="BB83" i="36"/>
  <c r="BA83" i="36"/>
  <c r="AZ83" i="36"/>
  <c r="BG82" i="36"/>
  <c r="BF82" i="36"/>
  <c r="BE82" i="36"/>
  <c r="BD82" i="36"/>
  <c r="BC82" i="36"/>
  <c r="BB82" i="36"/>
  <c r="BA82" i="36"/>
  <c r="AZ82" i="36"/>
  <c r="BG80" i="36"/>
  <c r="BF80" i="36"/>
  <c r="BE80" i="36"/>
  <c r="BD80" i="36"/>
  <c r="BC80" i="36"/>
  <c r="BB80" i="36"/>
  <c r="BA80" i="36"/>
  <c r="AZ80" i="36"/>
  <c r="BG78" i="36"/>
  <c r="BF78" i="36"/>
  <c r="BE78" i="36"/>
  <c r="BD78" i="36"/>
  <c r="BC78" i="36"/>
  <c r="BB78" i="36"/>
  <c r="BA78" i="36"/>
  <c r="AZ78" i="36"/>
  <c r="BG77" i="36"/>
  <c r="BF77" i="36"/>
  <c r="BE77" i="36"/>
  <c r="BD77" i="36"/>
  <c r="BC77" i="36"/>
  <c r="BB77" i="36"/>
  <c r="BA77" i="36"/>
  <c r="AZ77" i="36"/>
  <c r="BG76" i="36"/>
  <c r="BF76" i="36"/>
  <c r="BE76" i="36"/>
  <c r="BD76" i="36"/>
  <c r="BC76" i="36"/>
  <c r="BB76" i="36"/>
  <c r="BA76" i="36"/>
  <c r="AZ76" i="36"/>
  <c r="AX85" i="36"/>
  <c r="AW85" i="36"/>
  <c r="AV85" i="36"/>
  <c r="AU85" i="36"/>
  <c r="AT85" i="36"/>
  <c r="AS85" i="36"/>
  <c r="AR85" i="36"/>
  <c r="AQ85" i="36"/>
  <c r="AX84" i="36"/>
  <c r="AW84" i="36"/>
  <c r="AV84" i="36"/>
  <c r="AU84" i="36"/>
  <c r="AT84" i="36"/>
  <c r="AS84" i="36"/>
  <c r="AR84" i="36"/>
  <c r="AQ84" i="36"/>
  <c r="AX83" i="36"/>
  <c r="AW83" i="36"/>
  <c r="AV83" i="36"/>
  <c r="AU83" i="36"/>
  <c r="AT83" i="36"/>
  <c r="AS83" i="36"/>
  <c r="AR83" i="36"/>
  <c r="AQ83" i="36"/>
  <c r="AX82" i="36"/>
  <c r="AW82" i="36"/>
  <c r="AV82" i="36"/>
  <c r="AU82" i="36"/>
  <c r="AT82" i="36"/>
  <c r="AS82" i="36"/>
  <c r="AR82" i="36"/>
  <c r="AQ82" i="36"/>
  <c r="AX80" i="36"/>
  <c r="AW80" i="36"/>
  <c r="AV80" i="36"/>
  <c r="AU80" i="36"/>
  <c r="AT80" i="36"/>
  <c r="AS80" i="36"/>
  <c r="AR80" i="36"/>
  <c r="AQ80" i="36"/>
  <c r="AX78" i="36"/>
  <c r="AW78" i="36"/>
  <c r="AV78" i="36"/>
  <c r="AU78" i="36"/>
  <c r="AT78" i="36"/>
  <c r="AS78" i="36"/>
  <c r="AR78" i="36"/>
  <c r="AQ78" i="36"/>
  <c r="AX77" i="36"/>
  <c r="AW77" i="36"/>
  <c r="AV77" i="36"/>
  <c r="AU77" i="36"/>
  <c r="AT77" i="36"/>
  <c r="AS77" i="36"/>
  <c r="AR77" i="36"/>
  <c r="AQ77" i="36"/>
  <c r="AX76" i="36"/>
  <c r="AW76" i="36"/>
  <c r="AV76" i="36"/>
  <c r="AU76" i="36"/>
  <c r="AT76" i="36"/>
  <c r="AS76" i="36"/>
  <c r="AR76" i="36"/>
  <c r="AQ76" i="36"/>
  <c r="AM85" i="36"/>
  <c r="AL85" i="36"/>
  <c r="AK85" i="36"/>
  <c r="AJ85" i="36"/>
  <c r="AI85" i="36"/>
  <c r="AH85" i="36"/>
  <c r="AG85" i="36"/>
  <c r="AF85" i="36"/>
  <c r="AM84" i="36"/>
  <c r="AL84" i="36"/>
  <c r="AK84" i="36"/>
  <c r="AJ84" i="36"/>
  <c r="AI84" i="36"/>
  <c r="AH84" i="36"/>
  <c r="AG84" i="36"/>
  <c r="AF84" i="36"/>
  <c r="AM83" i="36"/>
  <c r="AL83" i="36"/>
  <c r="AK83" i="36"/>
  <c r="AJ83" i="36"/>
  <c r="AI83" i="36"/>
  <c r="AH83" i="36"/>
  <c r="AG83" i="36"/>
  <c r="AF83" i="36"/>
  <c r="AM82" i="36"/>
  <c r="AL82" i="36"/>
  <c r="AK82" i="36"/>
  <c r="AJ82" i="36"/>
  <c r="AI82" i="36"/>
  <c r="AH82" i="36"/>
  <c r="AG82" i="36"/>
  <c r="AF82" i="36"/>
  <c r="AM80" i="36"/>
  <c r="AL80" i="36"/>
  <c r="AK80" i="36"/>
  <c r="AJ80" i="36"/>
  <c r="AI80" i="36"/>
  <c r="AH80" i="36"/>
  <c r="AG80" i="36"/>
  <c r="AF80" i="36"/>
  <c r="AM78" i="36"/>
  <c r="AL78" i="36"/>
  <c r="AK78" i="36"/>
  <c r="AJ78" i="36"/>
  <c r="AI78" i="36"/>
  <c r="AH78" i="36"/>
  <c r="AG78" i="36"/>
  <c r="AF78" i="36"/>
  <c r="AM77" i="36"/>
  <c r="AL77" i="36"/>
  <c r="AK77" i="36"/>
  <c r="AJ77" i="36"/>
  <c r="AI77" i="36"/>
  <c r="AH77" i="36"/>
  <c r="AG77" i="36"/>
  <c r="AF77" i="36"/>
  <c r="AM76" i="36"/>
  <c r="AL76" i="36"/>
  <c r="AK76" i="36"/>
  <c r="AJ76" i="36"/>
  <c r="AI76" i="36"/>
  <c r="AH76" i="36"/>
  <c r="AG76" i="36"/>
  <c r="AF76" i="36"/>
  <c r="AD85" i="36"/>
  <c r="AC85" i="36"/>
  <c r="AB85" i="36"/>
  <c r="AA85" i="36"/>
  <c r="Z85" i="36"/>
  <c r="Y85" i="36"/>
  <c r="X85" i="36"/>
  <c r="W85" i="36"/>
  <c r="AD84" i="36"/>
  <c r="AC84" i="36"/>
  <c r="AB84" i="36"/>
  <c r="AA84" i="36"/>
  <c r="Z84" i="36"/>
  <c r="Y84" i="36"/>
  <c r="X84" i="36"/>
  <c r="W84" i="36"/>
  <c r="AD83" i="36"/>
  <c r="AC83" i="36"/>
  <c r="AB83" i="36"/>
  <c r="AA83" i="36"/>
  <c r="Z83" i="36"/>
  <c r="Y83" i="36"/>
  <c r="X83" i="36"/>
  <c r="W83" i="36"/>
  <c r="AD82" i="36"/>
  <c r="AC82" i="36"/>
  <c r="AB82" i="36"/>
  <c r="AA82" i="36"/>
  <c r="Z82" i="36"/>
  <c r="Y82" i="36"/>
  <c r="X82" i="36"/>
  <c r="W82" i="36"/>
  <c r="AD80" i="36"/>
  <c r="AC80" i="36"/>
  <c r="AB80" i="36"/>
  <c r="AA80" i="36"/>
  <c r="Z80" i="36"/>
  <c r="Y80" i="36"/>
  <c r="X80" i="36"/>
  <c r="W80" i="36"/>
  <c r="AD78" i="36"/>
  <c r="AC78" i="36"/>
  <c r="AB78" i="36"/>
  <c r="AA78" i="36"/>
  <c r="Z78" i="36"/>
  <c r="Y78" i="36"/>
  <c r="X78" i="36"/>
  <c r="W78" i="36"/>
  <c r="AD77" i="36"/>
  <c r="AC77" i="36"/>
  <c r="AB77" i="36"/>
  <c r="AA77" i="36"/>
  <c r="Z77" i="36"/>
  <c r="Y77" i="36"/>
  <c r="X77" i="36"/>
  <c r="W77" i="36"/>
  <c r="AD76" i="36"/>
  <c r="AC76" i="36"/>
  <c r="AB76" i="36"/>
  <c r="AA76" i="36"/>
  <c r="Z76" i="36"/>
  <c r="Y76" i="36"/>
  <c r="X76" i="36"/>
  <c r="W76" i="36"/>
  <c r="S85" i="36"/>
  <c r="R85" i="36"/>
  <c r="Q85" i="36"/>
  <c r="P85" i="36"/>
  <c r="O85" i="36"/>
  <c r="N85" i="36"/>
  <c r="M85" i="36"/>
  <c r="L85" i="36"/>
  <c r="S84" i="36"/>
  <c r="R84" i="36"/>
  <c r="Q84" i="36"/>
  <c r="P84" i="36"/>
  <c r="O84" i="36"/>
  <c r="N84" i="36"/>
  <c r="M84" i="36"/>
  <c r="L84" i="36"/>
  <c r="S83" i="36"/>
  <c r="R83" i="36"/>
  <c r="Q83" i="36"/>
  <c r="P83" i="36"/>
  <c r="O83" i="36"/>
  <c r="N83" i="36"/>
  <c r="M83" i="36"/>
  <c r="L83" i="36"/>
  <c r="S82" i="36"/>
  <c r="R82" i="36"/>
  <c r="Q82" i="36"/>
  <c r="P82" i="36"/>
  <c r="O82" i="36"/>
  <c r="N82" i="36"/>
  <c r="M82" i="36"/>
  <c r="L82" i="36"/>
  <c r="S80" i="36"/>
  <c r="R80" i="36"/>
  <c r="Q80" i="36"/>
  <c r="P80" i="36"/>
  <c r="O80" i="36"/>
  <c r="N80" i="36"/>
  <c r="M80" i="36"/>
  <c r="L80" i="36"/>
  <c r="S78" i="36"/>
  <c r="R78" i="36"/>
  <c r="Q78" i="36"/>
  <c r="P78" i="36"/>
  <c r="O78" i="36"/>
  <c r="N78" i="36"/>
  <c r="M78" i="36"/>
  <c r="L78" i="36"/>
  <c r="S77" i="36"/>
  <c r="R77" i="36"/>
  <c r="Q77" i="36"/>
  <c r="P77" i="36"/>
  <c r="O77" i="36"/>
  <c r="N77" i="36"/>
  <c r="M77" i="36"/>
  <c r="L77" i="36"/>
  <c r="S76" i="36"/>
  <c r="R76" i="36"/>
  <c r="Q76" i="36"/>
  <c r="P76" i="36"/>
  <c r="O76" i="36"/>
  <c r="N76" i="36"/>
  <c r="M76" i="36"/>
  <c r="L76" i="36"/>
  <c r="J85" i="36"/>
  <c r="I85" i="36"/>
  <c r="H85" i="36"/>
  <c r="G85" i="36"/>
  <c r="F85" i="36"/>
  <c r="E85" i="36"/>
  <c r="D85" i="36"/>
  <c r="J84" i="36"/>
  <c r="I84" i="36"/>
  <c r="H84" i="36"/>
  <c r="G84" i="36"/>
  <c r="F84" i="36"/>
  <c r="E84" i="36"/>
  <c r="D84" i="36"/>
  <c r="J83" i="36"/>
  <c r="I83" i="36"/>
  <c r="H83" i="36"/>
  <c r="G83" i="36"/>
  <c r="F83" i="36"/>
  <c r="E83" i="36"/>
  <c r="D83" i="36"/>
  <c r="J82" i="36"/>
  <c r="I82" i="36"/>
  <c r="H82" i="36"/>
  <c r="G82" i="36"/>
  <c r="F82" i="36"/>
  <c r="E82" i="36"/>
  <c r="D82" i="36"/>
  <c r="J80" i="36"/>
  <c r="I80" i="36"/>
  <c r="H80" i="36"/>
  <c r="G80" i="36"/>
  <c r="F80" i="36"/>
  <c r="E80" i="36"/>
  <c r="D80" i="36"/>
  <c r="J78" i="36"/>
  <c r="I78" i="36"/>
  <c r="H78" i="36"/>
  <c r="G78" i="36"/>
  <c r="F78" i="36"/>
  <c r="E78" i="36"/>
  <c r="D78" i="36"/>
  <c r="J77" i="36"/>
  <c r="I77" i="36"/>
  <c r="H77" i="36"/>
  <c r="G77" i="36"/>
  <c r="F77" i="36"/>
  <c r="E77" i="36"/>
  <c r="D77" i="36"/>
  <c r="J76" i="36"/>
  <c r="I76" i="36"/>
  <c r="H76" i="36"/>
  <c r="G76" i="36"/>
  <c r="F76" i="36"/>
  <c r="E76" i="36"/>
  <c r="D76" i="36"/>
  <c r="C85" i="36"/>
  <c r="C84" i="36"/>
  <c r="C83" i="36"/>
  <c r="C82" i="36"/>
  <c r="C80" i="36"/>
  <c r="C78" i="36"/>
  <c r="C77" i="36"/>
  <c r="C76" i="36"/>
  <c r="CA64" i="36"/>
  <c r="BZ64" i="36"/>
  <c r="BY64" i="36"/>
  <c r="BX64" i="36"/>
  <c r="BW64" i="36"/>
  <c r="BV64" i="36"/>
  <c r="BU64" i="36"/>
  <c r="BT64" i="36"/>
  <c r="CA63" i="36"/>
  <c r="BZ63" i="36"/>
  <c r="BY63" i="36"/>
  <c r="BX63" i="36"/>
  <c r="BW63" i="36"/>
  <c r="BV63" i="36"/>
  <c r="BU63" i="36"/>
  <c r="BT63" i="36"/>
  <c r="CA62" i="36"/>
  <c r="CA70" i="36" s="1"/>
  <c r="BZ62" i="36"/>
  <c r="BZ70" i="36" s="1"/>
  <c r="BY62" i="36"/>
  <c r="BX62" i="36"/>
  <c r="BW62" i="36"/>
  <c r="BW70" i="36" s="1"/>
  <c r="BV62" i="36"/>
  <c r="BV70" i="36" s="1"/>
  <c r="BU62" i="36"/>
  <c r="BT62" i="36"/>
  <c r="CA61" i="36"/>
  <c r="BZ61" i="36"/>
  <c r="BY61" i="36"/>
  <c r="BX61" i="36"/>
  <c r="BW61" i="36"/>
  <c r="BV61" i="36"/>
  <c r="BU61" i="36"/>
  <c r="BT61" i="36"/>
  <c r="CA60" i="36"/>
  <c r="BZ60" i="36"/>
  <c r="BY60" i="36"/>
  <c r="BX60" i="36"/>
  <c r="BW60" i="36"/>
  <c r="BV60" i="36"/>
  <c r="BU60" i="36"/>
  <c r="BT60" i="36"/>
  <c r="CA59" i="36"/>
  <c r="BZ59" i="36"/>
  <c r="BY59" i="36"/>
  <c r="BX59" i="36"/>
  <c r="BW59" i="36"/>
  <c r="BV59" i="36"/>
  <c r="BU59" i="36"/>
  <c r="BT59" i="36"/>
  <c r="CA58" i="36"/>
  <c r="BZ58" i="36"/>
  <c r="BY58" i="36"/>
  <c r="BX58" i="36"/>
  <c r="BW58" i="36"/>
  <c r="BV58" i="36"/>
  <c r="BU58" i="36"/>
  <c r="BT58" i="36"/>
  <c r="CA57" i="36"/>
  <c r="BZ57" i="36"/>
  <c r="BY57" i="36"/>
  <c r="BX57" i="36"/>
  <c r="BW57" i="36"/>
  <c r="BV57" i="36"/>
  <c r="BU57" i="36"/>
  <c r="BT57" i="36"/>
  <c r="CA56" i="36"/>
  <c r="BZ56" i="36"/>
  <c r="BY56" i="36"/>
  <c r="BX56" i="36"/>
  <c r="BW56" i="36"/>
  <c r="BV56" i="36"/>
  <c r="BU56" i="36"/>
  <c r="BT56" i="36"/>
  <c r="CA55" i="36"/>
  <c r="BZ55" i="36"/>
  <c r="BY55" i="36"/>
  <c r="BX55" i="36"/>
  <c r="BW55" i="36"/>
  <c r="BV55" i="36"/>
  <c r="BU55" i="36"/>
  <c r="BT55" i="36"/>
  <c r="CA54" i="36"/>
  <c r="BZ54" i="36"/>
  <c r="BY54" i="36"/>
  <c r="BX54" i="36"/>
  <c r="BW54" i="36"/>
  <c r="BV54" i="36"/>
  <c r="BU54" i="36"/>
  <c r="BT54" i="36"/>
  <c r="CA53" i="36"/>
  <c r="BZ53" i="36"/>
  <c r="BY53" i="36"/>
  <c r="BX53" i="36"/>
  <c r="BW53" i="36"/>
  <c r="BV53" i="36"/>
  <c r="BU53" i="36"/>
  <c r="BT53" i="36"/>
  <c r="CA52" i="36"/>
  <c r="BZ52" i="36"/>
  <c r="BY52" i="36"/>
  <c r="BX52" i="36"/>
  <c r="BW52" i="36"/>
  <c r="BV52" i="36"/>
  <c r="BU52" i="36"/>
  <c r="BT52" i="36"/>
  <c r="CA51" i="36"/>
  <c r="BZ51" i="36"/>
  <c r="BY51" i="36"/>
  <c r="BX51" i="36"/>
  <c r="BW51" i="36"/>
  <c r="BV51" i="36"/>
  <c r="BU51" i="36"/>
  <c r="BT51" i="36"/>
  <c r="CA50" i="36"/>
  <c r="BZ50" i="36"/>
  <c r="BY50" i="36"/>
  <c r="BX50" i="36"/>
  <c r="BW50" i="36"/>
  <c r="BV50" i="36"/>
  <c r="BU50" i="36"/>
  <c r="BT50" i="36"/>
  <c r="CA49" i="36"/>
  <c r="BZ49" i="36"/>
  <c r="BY49" i="36"/>
  <c r="BX49" i="36"/>
  <c r="BW49" i="36"/>
  <c r="BV49" i="36"/>
  <c r="BU49" i="36"/>
  <c r="BT49" i="36"/>
  <c r="CA48" i="36"/>
  <c r="BZ48" i="36"/>
  <c r="BY48" i="36"/>
  <c r="BX48" i="36"/>
  <c r="BW48" i="36"/>
  <c r="BV48" i="36"/>
  <c r="BU48" i="36"/>
  <c r="BT48" i="36"/>
  <c r="BZ47" i="36"/>
  <c r="BX47" i="36"/>
  <c r="BV47" i="36"/>
  <c r="BT47" i="36"/>
  <c r="BZ46" i="36"/>
  <c r="BX46" i="36"/>
  <c r="BW46" i="36"/>
  <c r="BV46" i="36"/>
  <c r="BU46" i="36"/>
  <c r="BT46" i="36"/>
  <c r="CA43" i="36"/>
  <c r="BZ43" i="36"/>
  <c r="BY43" i="36"/>
  <c r="BX43" i="36"/>
  <c r="BW43" i="36"/>
  <c r="BV43" i="36"/>
  <c r="BU43" i="36"/>
  <c r="BT43" i="36"/>
  <c r="CA42" i="36"/>
  <c r="BZ42" i="36"/>
  <c r="BY42" i="36"/>
  <c r="BX42" i="36"/>
  <c r="BW42" i="36"/>
  <c r="BV42" i="36"/>
  <c r="BU42" i="36"/>
  <c r="BT42" i="36"/>
  <c r="CA41" i="36"/>
  <c r="BZ41" i="36"/>
  <c r="BY41" i="36"/>
  <c r="BX41" i="36"/>
  <c r="BW41" i="36"/>
  <c r="BV41" i="36"/>
  <c r="BU41" i="36"/>
  <c r="BT41" i="36"/>
  <c r="CA40" i="36"/>
  <c r="BZ40" i="36"/>
  <c r="BY40" i="36"/>
  <c r="BX40" i="36"/>
  <c r="BW40" i="36"/>
  <c r="BV40" i="36"/>
  <c r="BU40" i="36"/>
  <c r="BT40" i="36"/>
  <c r="CA39" i="36"/>
  <c r="BZ39" i="36"/>
  <c r="BY39" i="36"/>
  <c r="BX39" i="36"/>
  <c r="BW39" i="36"/>
  <c r="BV39" i="36"/>
  <c r="BU39" i="36"/>
  <c r="BT39" i="36"/>
  <c r="CA38" i="36"/>
  <c r="BZ38" i="36"/>
  <c r="BY38" i="36"/>
  <c r="BX38" i="36"/>
  <c r="BW38" i="36"/>
  <c r="BV38" i="36"/>
  <c r="BU38" i="36"/>
  <c r="BT38" i="36"/>
  <c r="CA37" i="36"/>
  <c r="BZ37" i="36"/>
  <c r="BY37" i="36"/>
  <c r="BX37" i="36"/>
  <c r="BW37" i="36"/>
  <c r="BV37" i="36"/>
  <c r="BU37" i="36"/>
  <c r="BT37" i="36"/>
  <c r="CA36" i="36"/>
  <c r="BZ36" i="36"/>
  <c r="BY36" i="36"/>
  <c r="BX36" i="36"/>
  <c r="BW36" i="36"/>
  <c r="BV36" i="36"/>
  <c r="BU36" i="36"/>
  <c r="BT36" i="36"/>
  <c r="CA35" i="36"/>
  <c r="BZ35" i="36"/>
  <c r="BY35" i="36"/>
  <c r="BX35" i="36"/>
  <c r="BW35" i="36"/>
  <c r="BV35" i="36"/>
  <c r="BU35" i="36"/>
  <c r="BT35" i="36"/>
  <c r="BR64" i="36"/>
  <c r="BQ64" i="36"/>
  <c r="BP64" i="36"/>
  <c r="BO64" i="36"/>
  <c r="BN64" i="36"/>
  <c r="BM64" i="36"/>
  <c r="BL64" i="36"/>
  <c r="BK64" i="36"/>
  <c r="BR63" i="36"/>
  <c r="BQ63" i="36"/>
  <c r="BP63" i="36"/>
  <c r="BO63" i="36"/>
  <c r="BN63" i="36"/>
  <c r="BM63" i="36"/>
  <c r="BL63" i="36"/>
  <c r="BK63" i="36"/>
  <c r="BR62" i="36"/>
  <c r="BR70" i="36" s="1"/>
  <c r="BQ62" i="36"/>
  <c r="BQ70" i="36" s="1"/>
  <c r="BP62" i="36"/>
  <c r="BO62" i="36"/>
  <c r="BN62" i="36"/>
  <c r="BN70" i="36" s="1"/>
  <c r="BM62" i="36"/>
  <c r="BM70" i="36" s="1"/>
  <c r="BL62" i="36"/>
  <c r="BK62" i="36"/>
  <c r="BR61" i="36"/>
  <c r="BQ61" i="36"/>
  <c r="BP61" i="36"/>
  <c r="BO61" i="36"/>
  <c r="BN61" i="36"/>
  <c r="BM61" i="36"/>
  <c r="BL61" i="36"/>
  <c r="BK61" i="36"/>
  <c r="BR60" i="36"/>
  <c r="BQ60" i="36"/>
  <c r="BP60" i="36"/>
  <c r="BO60" i="36"/>
  <c r="BN60" i="36"/>
  <c r="BM60" i="36"/>
  <c r="BL60" i="36"/>
  <c r="BK60" i="36"/>
  <c r="BR59" i="36"/>
  <c r="BQ59" i="36"/>
  <c r="BP59" i="36"/>
  <c r="BO59" i="36"/>
  <c r="BN59" i="36"/>
  <c r="BM59" i="36"/>
  <c r="BL59" i="36"/>
  <c r="BK59" i="36"/>
  <c r="BR58" i="36"/>
  <c r="BQ58" i="36"/>
  <c r="BP58" i="36"/>
  <c r="BO58" i="36"/>
  <c r="BN58" i="36"/>
  <c r="BM58" i="36"/>
  <c r="BL58" i="36"/>
  <c r="BK58" i="36"/>
  <c r="BR57" i="36"/>
  <c r="BQ57" i="36"/>
  <c r="BP57" i="36"/>
  <c r="BO57" i="36"/>
  <c r="BN57" i="36"/>
  <c r="BM57" i="36"/>
  <c r="BL57" i="36"/>
  <c r="BK57" i="36"/>
  <c r="BR56" i="36"/>
  <c r="BQ56" i="36"/>
  <c r="BP56" i="36"/>
  <c r="BO56" i="36"/>
  <c r="BN56" i="36"/>
  <c r="BM56" i="36"/>
  <c r="BL56" i="36"/>
  <c r="BK56" i="36"/>
  <c r="BR55" i="36"/>
  <c r="BQ55" i="36"/>
  <c r="BP55" i="36"/>
  <c r="BO55" i="36"/>
  <c r="BN55" i="36"/>
  <c r="BM55" i="36"/>
  <c r="BL55" i="36"/>
  <c r="BK55" i="36"/>
  <c r="BR54" i="36"/>
  <c r="BQ54" i="36"/>
  <c r="BP54" i="36"/>
  <c r="BO54" i="36"/>
  <c r="BN54" i="36"/>
  <c r="BM54" i="36"/>
  <c r="BL54" i="36"/>
  <c r="BK54" i="36"/>
  <c r="BR53" i="36"/>
  <c r="BQ53" i="36"/>
  <c r="BP53" i="36"/>
  <c r="BO53" i="36"/>
  <c r="BN53" i="36"/>
  <c r="BM53" i="36"/>
  <c r="BL53" i="36"/>
  <c r="BK53" i="36"/>
  <c r="BR52" i="36"/>
  <c r="BQ52" i="36"/>
  <c r="BP52" i="36"/>
  <c r="BO52" i="36"/>
  <c r="BN52" i="36"/>
  <c r="BM52" i="36"/>
  <c r="BL52" i="36"/>
  <c r="BK52" i="36"/>
  <c r="BR51" i="36"/>
  <c r="BQ51" i="36"/>
  <c r="BP51" i="36"/>
  <c r="BO51" i="36"/>
  <c r="BN51" i="36"/>
  <c r="BM51" i="36"/>
  <c r="BL51" i="36"/>
  <c r="BK51" i="36"/>
  <c r="BR50" i="36"/>
  <c r="BQ50" i="36"/>
  <c r="BP50" i="36"/>
  <c r="BO50" i="36"/>
  <c r="BN50" i="36"/>
  <c r="BM50" i="36"/>
  <c r="BL50" i="36"/>
  <c r="BK50" i="36"/>
  <c r="BR49" i="36"/>
  <c r="BQ49" i="36"/>
  <c r="BP49" i="36"/>
  <c r="BO49" i="36"/>
  <c r="BN49" i="36"/>
  <c r="BM49" i="36"/>
  <c r="BL49" i="36"/>
  <c r="BK49" i="36"/>
  <c r="BR48" i="36"/>
  <c r="BQ48" i="36"/>
  <c r="BP48" i="36"/>
  <c r="BO48" i="36"/>
  <c r="BN48" i="36"/>
  <c r="BM48" i="36"/>
  <c r="BL48" i="36"/>
  <c r="BK48" i="36"/>
  <c r="BR43" i="36"/>
  <c r="BQ43" i="36"/>
  <c r="BP43" i="36"/>
  <c r="BO43" i="36"/>
  <c r="BN43" i="36"/>
  <c r="BM43" i="36"/>
  <c r="BL43" i="36"/>
  <c r="BK43" i="36"/>
  <c r="BR42" i="36"/>
  <c r="BQ42" i="36"/>
  <c r="BP42" i="36"/>
  <c r="BO42" i="36"/>
  <c r="BN42" i="36"/>
  <c r="BM42" i="36"/>
  <c r="BL42" i="36"/>
  <c r="BK42" i="36"/>
  <c r="BR41" i="36"/>
  <c r="BQ41" i="36"/>
  <c r="BP41" i="36"/>
  <c r="BO41" i="36"/>
  <c r="BN41" i="36"/>
  <c r="BM41" i="36"/>
  <c r="BL41" i="36"/>
  <c r="BK41" i="36"/>
  <c r="BR40" i="36"/>
  <c r="BQ40" i="36"/>
  <c r="BP40" i="36"/>
  <c r="BO40" i="36"/>
  <c r="BN40" i="36"/>
  <c r="BM40" i="36"/>
  <c r="BL40" i="36"/>
  <c r="BK40" i="36"/>
  <c r="BR39" i="36"/>
  <c r="BQ39" i="36"/>
  <c r="BP39" i="36"/>
  <c r="BO39" i="36"/>
  <c r="BN39" i="36"/>
  <c r="BM39" i="36"/>
  <c r="BL39" i="36"/>
  <c r="BK39" i="36"/>
  <c r="BR38" i="36"/>
  <c r="BQ38" i="36"/>
  <c r="BP38" i="36"/>
  <c r="BO38" i="36"/>
  <c r="BN38" i="36"/>
  <c r="BM38" i="36"/>
  <c r="BL38" i="36"/>
  <c r="BK38" i="36"/>
  <c r="BR37" i="36"/>
  <c r="BQ37" i="36"/>
  <c r="BP37" i="36"/>
  <c r="BO37" i="36"/>
  <c r="BN37" i="36"/>
  <c r="BM37" i="36"/>
  <c r="BL37" i="36"/>
  <c r="BK37" i="36"/>
  <c r="BR36" i="36"/>
  <c r="BQ36" i="36"/>
  <c r="BP36" i="36"/>
  <c r="BO36" i="36"/>
  <c r="BN36" i="36"/>
  <c r="BM36" i="36"/>
  <c r="BL36" i="36"/>
  <c r="BK36" i="36"/>
  <c r="BR35" i="36"/>
  <c r="BQ35" i="36"/>
  <c r="BP35" i="36"/>
  <c r="BO35" i="36"/>
  <c r="BN35" i="36"/>
  <c r="BM35" i="36"/>
  <c r="BL35" i="36"/>
  <c r="BK35" i="36"/>
  <c r="BG64" i="36"/>
  <c r="BF64" i="36"/>
  <c r="BE64" i="36"/>
  <c r="BD64" i="36"/>
  <c r="BC64" i="36"/>
  <c r="BB64" i="36"/>
  <c r="BA64" i="36"/>
  <c r="AZ64" i="36"/>
  <c r="BG63" i="36"/>
  <c r="BF63" i="36"/>
  <c r="BE63" i="36"/>
  <c r="BD63" i="36"/>
  <c r="BC63" i="36"/>
  <c r="BB63" i="36"/>
  <c r="BA63" i="36"/>
  <c r="AZ63" i="36"/>
  <c r="BG62" i="36"/>
  <c r="BG70" i="36" s="1"/>
  <c r="BF62" i="36"/>
  <c r="BF70" i="36" s="1"/>
  <c r="BE62" i="36"/>
  <c r="BD62" i="36"/>
  <c r="BC62" i="36"/>
  <c r="BC70" i="36" s="1"/>
  <c r="BB62" i="36"/>
  <c r="BB70" i="36" s="1"/>
  <c r="BA62" i="36"/>
  <c r="AZ62" i="36"/>
  <c r="BG61" i="36"/>
  <c r="BF61" i="36"/>
  <c r="BE61" i="36"/>
  <c r="BD61" i="36"/>
  <c r="BC61" i="36"/>
  <c r="BB61" i="36"/>
  <c r="BA61" i="36"/>
  <c r="AZ61" i="36"/>
  <c r="BG60" i="36"/>
  <c r="BF60" i="36"/>
  <c r="BE60" i="36"/>
  <c r="BD60" i="36"/>
  <c r="BC60" i="36"/>
  <c r="BB60" i="36"/>
  <c r="BA60" i="36"/>
  <c r="AZ60" i="36"/>
  <c r="BG59" i="36"/>
  <c r="BF59" i="36"/>
  <c r="BE59" i="36"/>
  <c r="BD59" i="36"/>
  <c r="BC59" i="36"/>
  <c r="BB59" i="36"/>
  <c r="BA59" i="36"/>
  <c r="AZ59" i="36"/>
  <c r="BG58" i="36"/>
  <c r="BF58" i="36"/>
  <c r="BE58" i="36"/>
  <c r="BD58" i="36"/>
  <c r="BC58" i="36"/>
  <c r="BB58" i="36"/>
  <c r="BA58" i="36"/>
  <c r="AZ58" i="36"/>
  <c r="BG57" i="36"/>
  <c r="BF57" i="36"/>
  <c r="BE57" i="36"/>
  <c r="BD57" i="36"/>
  <c r="BC57" i="36"/>
  <c r="BB57" i="36"/>
  <c r="BA57" i="36"/>
  <c r="AZ57" i="36"/>
  <c r="BG56" i="36"/>
  <c r="BF56" i="36"/>
  <c r="BE56" i="36"/>
  <c r="BD56" i="36"/>
  <c r="BC56" i="36"/>
  <c r="BB56" i="36"/>
  <c r="BA56" i="36"/>
  <c r="AZ56" i="36"/>
  <c r="BG55" i="36"/>
  <c r="BF55" i="36"/>
  <c r="BE55" i="36"/>
  <c r="BD55" i="36"/>
  <c r="BC55" i="36"/>
  <c r="BB55" i="36"/>
  <c r="BA55" i="36"/>
  <c r="AZ55" i="36"/>
  <c r="BG54" i="36"/>
  <c r="BF54" i="36"/>
  <c r="BE54" i="36"/>
  <c r="BD54" i="36"/>
  <c r="BC54" i="36"/>
  <c r="BB54" i="36"/>
  <c r="BA54" i="36"/>
  <c r="AZ54" i="36"/>
  <c r="BG53" i="36"/>
  <c r="BF53" i="36"/>
  <c r="BE53" i="36"/>
  <c r="BD53" i="36"/>
  <c r="BC53" i="36"/>
  <c r="BB53" i="36"/>
  <c r="BA53" i="36"/>
  <c r="AZ53" i="36"/>
  <c r="BG52" i="36"/>
  <c r="BF52" i="36"/>
  <c r="BE52" i="36"/>
  <c r="BD52" i="36"/>
  <c r="BC52" i="36"/>
  <c r="BB52" i="36"/>
  <c r="BA52" i="36"/>
  <c r="AZ52" i="36"/>
  <c r="BG51" i="36"/>
  <c r="BF51" i="36"/>
  <c r="BE51" i="36"/>
  <c r="BD51" i="36"/>
  <c r="BC51" i="36"/>
  <c r="BB51" i="36"/>
  <c r="BA51" i="36"/>
  <c r="AZ51" i="36"/>
  <c r="BG50" i="36"/>
  <c r="BF50" i="36"/>
  <c r="BE50" i="36"/>
  <c r="BD50" i="36"/>
  <c r="BC50" i="36"/>
  <c r="BB50" i="36"/>
  <c r="BA50" i="36"/>
  <c r="AZ50" i="36"/>
  <c r="BG49" i="36"/>
  <c r="BF49" i="36"/>
  <c r="BE49" i="36"/>
  <c r="BD49" i="36"/>
  <c r="BC49" i="36"/>
  <c r="BB49" i="36"/>
  <c r="BA49" i="36"/>
  <c r="AZ49" i="36"/>
  <c r="BG48" i="36"/>
  <c r="BF48" i="36"/>
  <c r="BE48" i="36"/>
  <c r="BD48" i="36"/>
  <c r="BC48" i="36"/>
  <c r="BB48" i="36"/>
  <c r="BA48" i="36"/>
  <c r="AZ48" i="36"/>
  <c r="BF47" i="36"/>
  <c r="BD47" i="36"/>
  <c r="BB47" i="36"/>
  <c r="AZ47" i="36"/>
  <c r="BG46" i="36"/>
  <c r="BF46" i="36"/>
  <c r="BE46" i="36"/>
  <c r="BD46" i="36"/>
  <c r="BC46" i="36"/>
  <c r="BB46" i="36"/>
  <c r="BA46" i="36"/>
  <c r="AZ46" i="36"/>
  <c r="BG43" i="36"/>
  <c r="BF43" i="36"/>
  <c r="BE43" i="36"/>
  <c r="BD43" i="36"/>
  <c r="BC43" i="36"/>
  <c r="BB43" i="36"/>
  <c r="BA43" i="36"/>
  <c r="AZ43" i="36"/>
  <c r="BG42" i="36"/>
  <c r="BF42" i="36"/>
  <c r="BE42" i="36"/>
  <c r="BD42" i="36"/>
  <c r="BC42" i="36"/>
  <c r="BB42" i="36"/>
  <c r="BA42" i="36"/>
  <c r="AZ42" i="36"/>
  <c r="BG41" i="36"/>
  <c r="BF41" i="36"/>
  <c r="BE41" i="36"/>
  <c r="BD41" i="36"/>
  <c r="BC41" i="36"/>
  <c r="BB41" i="36"/>
  <c r="BA41" i="36"/>
  <c r="AZ41" i="36"/>
  <c r="BG40" i="36"/>
  <c r="BF40" i="36"/>
  <c r="BE40" i="36"/>
  <c r="BD40" i="36"/>
  <c r="BC40" i="36"/>
  <c r="BB40" i="36"/>
  <c r="BA40" i="36"/>
  <c r="AZ40" i="36"/>
  <c r="BG39" i="36"/>
  <c r="BF39" i="36"/>
  <c r="BE39" i="36"/>
  <c r="BD39" i="36"/>
  <c r="BC39" i="36"/>
  <c r="BB39" i="36"/>
  <c r="BA39" i="36"/>
  <c r="AZ39" i="36"/>
  <c r="BG38" i="36"/>
  <c r="BF38" i="36"/>
  <c r="BE38" i="36"/>
  <c r="BD38" i="36"/>
  <c r="BC38" i="36"/>
  <c r="BB38" i="36"/>
  <c r="BA38" i="36"/>
  <c r="AZ38" i="36"/>
  <c r="BG37" i="36"/>
  <c r="BF37" i="36"/>
  <c r="BE37" i="36"/>
  <c r="BD37" i="36"/>
  <c r="BC37" i="36"/>
  <c r="BB37" i="36"/>
  <c r="BA37" i="36"/>
  <c r="AZ37" i="36"/>
  <c r="BG36" i="36"/>
  <c r="BF36" i="36"/>
  <c r="BE36" i="36"/>
  <c r="BD36" i="36"/>
  <c r="BC36" i="36"/>
  <c r="BB36" i="36"/>
  <c r="BA36" i="36"/>
  <c r="AZ36" i="36"/>
  <c r="BG35" i="36"/>
  <c r="BF35" i="36"/>
  <c r="BE35" i="36"/>
  <c r="BD35" i="36"/>
  <c r="BC35" i="36"/>
  <c r="BB35" i="36"/>
  <c r="BA35" i="36"/>
  <c r="AZ35" i="36"/>
  <c r="AX64" i="36"/>
  <c r="AW64" i="36"/>
  <c r="AV64" i="36"/>
  <c r="AU64" i="36"/>
  <c r="AT64" i="36"/>
  <c r="AS64" i="36"/>
  <c r="AR64" i="36"/>
  <c r="AQ64" i="36"/>
  <c r="AX63" i="36"/>
  <c r="AW63" i="36"/>
  <c r="AV63" i="36"/>
  <c r="AU63" i="36"/>
  <c r="AT63" i="36"/>
  <c r="AS63" i="36"/>
  <c r="AR63" i="36"/>
  <c r="AQ63" i="36"/>
  <c r="AX62" i="36"/>
  <c r="AX70" i="36" s="1"/>
  <c r="AW62" i="36"/>
  <c r="AW70" i="36" s="1"/>
  <c r="AV62" i="36"/>
  <c r="AU62" i="36"/>
  <c r="AT62" i="36"/>
  <c r="AT70" i="36" s="1"/>
  <c r="AS62" i="36"/>
  <c r="AS70" i="36" s="1"/>
  <c r="AR62" i="36"/>
  <c r="AQ62" i="36"/>
  <c r="AX61" i="36"/>
  <c r="AW61" i="36"/>
  <c r="AV61" i="36"/>
  <c r="AU61" i="36"/>
  <c r="AT61" i="36"/>
  <c r="AS61" i="36"/>
  <c r="AR61" i="36"/>
  <c r="AQ61" i="36"/>
  <c r="AX60" i="36"/>
  <c r="AW60" i="36"/>
  <c r="AV60" i="36"/>
  <c r="AU60" i="36"/>
  <c r="AT60" i="36"/>
  <c r="AS60" i="36"/>
  <c r="AR60" i="36"/>
  <c r="AQ60" i="36"/>
  <c r="AX59" i="36"/>
  <c r="AW59" i="36"/>
  <c r="AV59" i="36"/>
  <c r="AU59" i="36"/>
  <c r="AT59" i="36"/>
  <c r="AS59" i="36"/>
  <c r="AR59" i="36"/>
  <c r="AQ59" i="36"/>
  <c r="AX58" i="36"/>
  <c r="AW58" i="36"/>
  <c r="AV58" i="36"/>
  <c r="AU58" i="36"/>
  <c r="AT58" i="36"/>
  <c r="AS58" i="36"/>
  <c r="AR58" i="36"/>
  <c r="AQ58" i="36"/>
  <c r="AX57" i="36"/>
  <c r="AW57" i="36"/>
  <c r="AV57" i="36"/>
  <c r="AU57" i="36"/>
  <c r="AT57" i="36"/>
  <c r="AS57" i="36"/>
  <c r="AR57" i="36"/>
  <c r="AQ57" i="36"/>
  <c r="AX56" i="36"/>
  <c r="AW56" i="36"/>
  <c r="AV56" i="36"/>
  <c r="AU56" i="36"/>
  <c r="AT56" i="36"/>
  <c r="AS56" i="36"/>
  <c r="AR56" i="36"/>
  <c r="AQ56" i="36"/>
  <c r="AX55" i="36"/>
  <c r="AW55" i="36"/>
  <c r="AV55" i="36"/>
  <c r="AU55" i="36"/>
  <c r="AT55" i="36"/>
  <c r="AS55" i="36"/>
  <c r="AR55" i="36"/>
  <c r="AQ55" i="36"/>
  <c r="AX54" i="36"/>
  <c r="AW54" i="36"/>
  <c r="AV54" i="36"/>
  <c r="AU54" i="36"/>
  <c r="AT54" i="36"/>
  <c r="AS54" i="36"/>
  <c r="AR54" i="36"/>
  <c r="AQ54" i="36"/>
  <c r="AX53" i="36"/>
  <c r="AW53" i="36"/>
  <c r="AV53" i="36"/>
  <c r="AU53" i="36"/>
  <c r="AT53" i="36"/>
  <c r="AS53" i="36"/>
  <c r="AR53" i="36"/>
  <c r="AQ53" i="36"/>
  <c r="AX52" i="36"/>
  <c r="AW52" i="36"/>
  <c r="AV52" i="36"/>
  <c r="AU52" i="36"/>
  <c r="AT52" i="36"/>
  <c r="AS52" i="36"/>
  <c r="AR52" i="36"/>
  <c r="AQ52" i="36"/>
  <c r="AX51" i="36"/>
  <c r="AW51" i="36"/>
  <c r="AV51" i="36"/>
  <c r="AU51" i="36"/>
  <c r="AT51" i="36"/>
  <c r="AS51" i="36"/>
  <c r="AR51" i="36"/>
  <c r="AQ51" i="36"/>
  <c r="AX50" i="36"/>
  <c r="AW50" i="36"/>
  <c r="AV50" i="36"/>
  <c r="AU50" i="36"/>
  <c r="AT50" i="36"/>
  <c r="AS50" i="36"/>
  <c r="AR50" i="36"/>
  <c r="AQ50" i="36"/>
  <c r="AX49" i="36"/>
  <c r="AW49" i="36"/>
  <c r="AV49" i="36"/>
  <c r="AU49" i="36"/>
  <c r="AT49" i="36"/>
  <c r="AS49" i="36"/>
  <c r="AR49" i="36"/>
  <c r="AQ49" i="36"/>
  <c r="AX48" i="36"/>
  <c r="AW48" i="36"/>
  <c r="AV48" i="36"/>
  <c r="AU48" i="36"/>
  <c r="AT48" i="36"/>
  <c r="AS48" i="36"/>
  <c r="AR48" i="36"/>
  <c r="AQ48" i="36"/>
  <c r="AX43" i="36"/>
  <c r="AW43" i="36"/>
  <c r="AV43" i="36"/>
  <c r="AU43" i="36"/>
  <c r="AT43" i="36"/>
  <c r="AS43" i="36"/>
  <c r="AR43" i="36"/>
  <c r="AQ43" i="36"/>
  <c r="AX42" i="36"/>
  <c r="AW42" i="36"/>
  <c r="AV42" i="36"/>
  <c r="AU42" i="36"/>
  <c r="AT42" i="36"/>
  <c r="AS42" i="36"/>
  <c r="AR42" i="36"/>
  <c r="AQ42" i="36"/>
  <c r="AX41" i="36"/>
  <c r="AW41" i="36"/>
  <c r="AV41" i="36"/>
  <c r="AU41" i="36"/>
  <c r="AT41" i="36"/>
  <c r="AS41" i="36"/>
  <c r="AR41" i="36"/>
  <c r="AQ41" i="36"/>
  <c r="AX40" i="36"/>
  <c r="AW40" i="36"/>
  <c r="AV40" i="36"/>
  <c r="AU40" i="36"/>
  <c r="AT40" i="36"/>
  <c r="AS40" i="36"/>
  <c r="AR40" i="36"/>
  <c r="AQ40" i="36"/>
  <c r="AX39" i="36"/>
  <c r="AW39" i="36"/>
  <c r="AV39" i="36"/>
  <c r="AU39" i="36"/>
  <c r="AT39" i="36"/>
  <c r="AS39" i="36"/>
  <c r="AR39" i="36"/>
  <c r="AQ39" i="36"/>
  <c r="AX38" i="36"/>
  <c r="AW38" i="36"/>
  <c r="AV38" i="36"/>
  <c r="AU38" i="36"/>
  <c r="AT38" i="36"/>
  <c r="AS38" i="36"/>
  <c r="AR38" i="36"/>
  <c r="AQ38" i="36"/>
  <c r="AX37" i="36"/>
  <c r="AW37" i="36"/>
  <c r="AV37" i="36"/>
  <c r="AU37" i="36"/>
  <c r="AT37" i="36"/>
  <c r="AS37" i="36"/>
  <c r="AR37" i="36"/>
  <c r="AQ37" i="36"/>
  <c r="AX36" i="36"/>
  <c r="AW36" i="36"/>
  <c r="AV36" i="36"/>
  <c r="AU36" i="36"/>
  <c r="AT36" i="36"/>
  <c r="AS36" i="36"/>
  <c r="AR36" i="36"/>
  <c r="AQ36" i="36"/>
  <c r="AX35" i="36"/>
  <c r="AW35" i="36"/>
  <c r="AV35" i="36"/>
  <c r="AU35" i="36"/>
  <c r="AT35" i="36"/>
  <c r="AS35" i="36"/>
  <c r="AR35" i="36"/>
  <c r="AQ35" i="36"/>
  <c r="AM64" i="36"/>
  <c r="AL64" i="36"/>
  <c r="AK64" i="36"/>
  <c r="AJ64" i="36"/>
  <c r="AI64" i="36"/>
  <c r="AH64" i="36"/>
  <c r="AG64" i="36"/>
  <c r="AF64" i="36"/>
  <c r="AM63" i="36"/>
  <c r="AL63" i="36"/>
  <c r="AK63" i="36"/>
  <c r="AJ63" i="36"/>
  <c r="AI63" i="36"/>
  <c r="AH63" i="36"/>
  <c r="AG63" i="36"/>
  <c r="AF63" i="36"/>
  <c r="AM62" i="36"/>
  <c r="AM70" i="36" s="1"/>
  <c r="AL62" i="36"/>
  <c r="AL70" i="36" s="1"/>
  <c r="AK62" i="36"/>
  <c r="AJ62" i="36"/>
  <c r="AI62" i="36"/>
  <c r="AI70" i="36" s="1"/>
  <c r="AH62" i="36"/>
  <c r="AH70" i="36" s="1"/>
  <c r="AG62" i="36"/>
  <c r="AF62" i="36"/>
  <c r="AM61" i="36"/>
  <c r="AL61" i="36"/>
  <c r="AK61" i="36"/>
  <c r="AJ61" i="36"/>
  <c r="AI61" i="36"/>
  <c r="AH61" i="36"/>
  <c r="AG61" i="36"/>
  <c r="AF61" i="36"/>
  <c r="AM60" i="36"/>
  <c r="AL60" i="36"/>
  <c r="AK60" i="36"/>
  <c r="AJ60" i="36"/>
  <c r="AI60" i="36"/>
  <c r="AH60" i="36"/>
  <c r="AG60" i="36"/>
  <c r="AF60" i="36"/>
  <c r="AM59" i="36"/>
  <c r="AL59" i="36"/>
  <c r="AK59" i="36"/>
  <c r="AJ59" i="36"/>
  <c r="AI59" i="36"/>
  <c r="AH59" i="36"/>
  <c r="AG59" i="36"/>
  <c r="AF59" i="36"/>
  <c r="AM58" i="36"/>
  <c r="AL58" i="36"/>
  <c r="AK58" i="36"/>
  <c r="AJ58" i="36"/>
  <c r="AI58" i="36"/>
  <c r="AH58" i="36"/>
  <c r="AG58" i="36"/>
  <c r="AF58" i="36"/>
  <c r="AM57" i="36"/>
  <c r="AL57" i="36"/>
  <c r="AK57" i="36"/>
  <c r="AJ57" i="36"/>
  <c r="AI57" i="36"/>
  <c r="AH57" i="36"/>
  <c r="AG57" i="36"/>
  <c r="AF57" i="36"/>
  <c r="AM56" i="36"/>
  <c r="AL56" i="36"/>
  <c r="AK56" i="36"/>
  <c r="AJ56" i="36"/>
  <c r="AI56" i="36"/>
  <c r="AH56" i="36"/>
  <c r="AG56" i="36"/>
  <c r="AF56" i="36"/>
  <c r="AM55" i="36"/>
  <c r="AL55" i="36"/>
  <c r="AK55" i="36"/>
  <c r="AJ55" i="36"/>
  <c r="AI55" i="36"/>
  <c r="AH55" i="36"/>
  <c r="AG55" i="36"/>
  <c r="AF55" i="36"/>
  <c r="AM54" i="36"/>
  <c r="AL54" i="36"/>
  <c r="AK54" i="36"/>
  <c r="AJ54" i="36"/>
  <c r="AI54" i="36"/>
  <c r="AH54" i="36"/>
  <c r="AG54" i="36"/>
  <c r="AF54" i="36"/>
  <c r="AM53" i="36"/>
  <c r="AL53" i="36"/>
  <c r="AK53" i="36"/>
  <c r="AJ53" i="36"/>
  <c r="AI53" i="36"/>
  <c r="AH53" i="36"/>
  <c r="AG53" i="36"/>
  <c r="AF53" i="36"/>
  <c r="AM52" i="36"/>
  <c r="AL52" i="36"/>
  <c r="AK52" i="36"/>
  <c r="AJ52" i="36"/>
  <c r="AI52" i="36"/>
  <c r="AH52" i="36"/>
  <c r="AG52" i="36"/>
  <c r="AF52" i="36"/>
  <c r="AM51" i="36"/>
  <c r="AL51" i="36"/>
  <c r="AK51" i="36"/>
  <c r="AJ51" i="36"/>
  <c r="AI51" i="36"/>
  <c r="AH51" i="36"/>
  <c r="AG51" i="36"/>
  <c r="AF51" i="36"/>
  <c r="AM50" i="36"/>
  <c r="AL50" i="36"/>
  <c r="AK50" i="36"/>
  <c r="AJ50" i="36"/>
  <c r="AI50" i="36"/>
  <c r="AH50" i="36"/>
  <c r="AG50" i="36"/>
  <c r="AF50" i="36"/>
  <c r="AM49" i="36"/>
  <c r="AL49" i="36"/>
  <c r="AK49" i="36"/>
  <c r="AJ49" i="36"/>
  <c r="AI49" i="36"/>
  <c r="AH49" i="36"/>
  <c r="AG49" i="36"/>
  <c r="AF49" i="36"/>
  <c r="AM48" i="36"/>
  <c r="AL48" i="36"/>
  <c r="AK48" i="36"/>
  <c r="AJ48" i="36"/>
  <c r="AI48" i="36"/>
  <c r="AH48" i="36"/>
  <c r="AG48" i="36"/>
  <c r="AF48" i="36"/>
  <c r="AL47" i="36"/>
  <c r="AJ47" i="36"/>
  <c r="AH47" i="36"/>
  <c r="AF47" i="36"/>
  <c r="AM46" i="36"/>
  <c r="AL46" i="36"/>
  <c r="AK46" i="36"/>
  <c r="AJ46" i="36"/>
  <c r="AI46" i="36"/>
  <c r="AH46" i="36"/>
  <c r="AG46" i="36"/>
  <c r="AF46" i="36"/>
  <c r="AM43" i="36"/>
  <c r="AL43" i="36"/>
  <c r="AK43" i="36"/>
  <c r="AJ43" i="36"/>
  <c r="AI43" i="36"/>
  <c r="AH43" i="36"/>
  <c r="AG43" i="36"/>
  <c r="AF43" i="36"/>
  <c r="AM42" i="36"/>
  <c r="AL42" i="36"/>
  <c r="AK42" i="36"/>
  <c r="AJ42" i="36"/>
  <c r="AI42" i="36"/>
  <c r="AH42" i="36"/>
  <c r="AG42" i="36"/>
  <c r="AF42" i="36"/>
  <c r="AM41" i="36"/>
  <c r="AL41" i="36"/>
  <c r="AK41" i="36"/>
  <c r="AJ41" i="36"/>
  <c r="AI41" i="36"/>
  <c r="AH41" i="36"/>
  <c r="AG41" i="36"/>
  <c r="AF41" i="36"/>
  <c r="AM40" i="36"/>
  <c r="AL40" i="36"/>
  <c r="AK40" i="36"/>
  <c r="AJ40" i="36"/>
  <c r="AI40" i="36"/>
  <c r="AH40" i="36"/>
  <c r="AG40" i="36"/>
  <c r="AF40" i="36"/>
  <c r="AM39" i="36"/>
  <c r="AL39" i="36"/>
  <c r="AK39" i="36"/>
  <c r="AJ39" i="36"/>
  <c r="AI39" i="36"/>
  <c r="AH39" i="36"/>
  <c r="AG39" i="36"/>
  <c r="AF39" i="36"/>
  <c r="AM38" i="36"/>
  <c r="AL38" i="36"/>
  <c r="AK38" i="36"/>
  <c r="AJ38" i="36"/>
  <c r="AI38" i="36"/>
  <c r="AH38" i="36"/>
  <c r="AG38" i="36"/>
  <c r="AF38" i="36"/>
  <c r="AM37" i="36"/>
  <c r="AL37" i="36"/>
  <c r="AK37" i="36"/>
  <c r="AJ37" i="36"/>
  <c r="AI37" i="36"/>
  <c r="AH37" i="36"/>
  <c r="AG37" i="36"/>
  <c r="AF37" i="36"/>
  <c r="AM36" i="36"/>
  <c r="AL36" i="36"/>
  <c r="AK36" i="36"/>
  <c r="AJ36" i="36"/>
  <c r="AI36" i="36"/>
  <c r="AH36" i="36"/>
  <c r="AG36" i="36"/>
  <c r="AF36" i="36"/>
  <c r="AM35" i="36"/>
  <c r="AL35" i="36"/>
  <c r="AK35" i="36"/>
  <c r="AJ35" i="36"/>
  <c r="AI35" i="36"/>
  <c r="AH35" i="36"/>
  <c r="AG35" i="36"/>
  <c r="AF35" i="36"/>
  <c r="AD64" i="36"/>
  <c r="AC64" i="36"/>
  <c r="AB64" i="36"/>
  <c r="AA64" i="36"/>
  <c r="Z64" i="36"/>
  <c r="Y64" i="36"/>
  <c r="X64" i="36"/>
  <c r="W64" i="36"/>
  <c r="AD63" i="36"/>
  <c r="AC63" i="36"/>
  <c r="AB63" i="36"/>
  <c r="AA63" i="36"/>
  <c r="Z63" i="36"/>
  <c r="Y63" i="36"/>
  <c r="X63" i="36"/>
  <c r="W63" i="36"/>
  <c r="AD62" i="36"/>
  <c r="AD70" i="36" s="1"/>
  <c r="AC62" i="36"/>
  <c r="AC70" i="36" s="1"/>
  <c r="AB62" i="36"/>
  <c r="AA62" i="36"/>
  <c r="Z62" i="36"/>
  <c r="Z70" i="36" s="1"/>
  <c r="Y62" i="36"/>
  <c r="Y70" i="36" s="1"/>
  <c r="X62" i="36"/>
  <c r="W62" i="36"/>
  <c r="AD61" i="36"/>
  <c r="AC61" i="36"/>
  <c r="AB61" i="36"/>
  <c r="AA61" i="36"/>
  <c r="Z61" i="36"/>
  <c r="Y61" i="36"/>
  <c r="X61" i="36"/>
  <c r="W61" i="36"/>
  <c r="AD60" i="36"/>
  <c r="AC60" i="36"/>
  <c r="AB60" i="36"/>
  <c r="AA60" i="36"/>
  <c r="Z60" i="36"/>
  <c r="Y60" i="36"/>
  <c r="X60" i="36"/>
  <c r="W60" i="36"/>
  <c r="AD59" i="36"/>
  <c r="AC59" i="36"/>
  <c r="AB59" i="36"/>
  <c r="AA59" i="36"/>
  <c r="Z59" i="36"/>
  <c r="Y59" i="36"/>
  <c r="X59" i="36"/>
  <c r="W59" i="36"/>
  <c r="AD58" i="36"/>
  <c r="AC58" i="36"/>
  <c r="AB58" i="36"/>
  <c r="AA58" i="36"/>
  <c r="Z58" i="36"/>
  <c r="Y58" i="36"/>
  <c r="X58" i="36"/>
  <c r="W58" i="36"/>
  <c r="AD57" i="36"/>
  <c r="AC57" i="36"/>
  <c r="AB57" i="36"/>
  <c r="AA57" i="36"/>
  <c r="Z57" i="36"/>
  <c r="Y57" i="36"/>
  <c r="X57" i="36"/>
  <c r="W57" i="36"/>
  <c r="AD56" i="36"/>
  <c r="AC56" i="36"/>
  <c r="AB56" i="36"/>
  <c r="AA56" i="36"/>
  <c r="Z56" i="36"/>
  <c r="Y56" i="36"/>
  <c r="X56" i="36"/>
  <c r="W56" i="36"/>
  <c r="AD55" i="36"/>
  <c r="AC55" i="36"/>
  <c r="AB55" i="36"/>
  <c r="AA55" i="36"/>
  <c r="Z55" i="36"/>
  <c r="Y55" i="36"/>
  <c r="X55" i="36"/>
  <c r="W55" i="36"/>
  <c r="AD54" i="36"/>
  <c r="AC54" i="36"/>
  <c r="AB54" i="36"/>
  <c r="AA54" i="36"/>
  <c r="Z54" i="36"/>
  <c r="Y54" i="36"/>
  <c r="X54" i="36"/>
  <c r="W54" i="36"/>
  <c r="AD53" i="36"/>
  <c r="AC53" i="36"/>
  <c r="AB53" i="36"/>
  <c r="AA53" i="36"/>
  <c r="Z53" i="36"/>
  <c r="Y53" i="36"/>
  <c r="X53" i="36"/>
  <c r="W53" i="36"/>
  <c r="AD52" i="36"/>
  <c r="AC52" i="36"/>
  <c r="AB52" i="36"/>
  <c r="AA52" i="36"/>
  <c r="Z52" i="36"/>
  <c r="Y52" i="36"/>
  <c r="X52" i="36"/>
  <c r="W52" i="36"/>
  <c r="AD51" i="36"/>
  <c r="AC51" i="36"/>
  <c r="AB51" i="36"/>
  <c r="AA51" i="36"/>
  <c r="Z51" i="36"/>
  <c r="Y51" i="36"/>
  <c r="X51" i="36"/>
  <c r="W51" i="36"/>
  <c r="AD50" i="36"/>
  <c r="AC50" i="36"/>
  <c r="AB50" i="36"/>
  <c r="AA50" i="36"/>
  <c r="Z50" i="36"/>
  <c r="Y50" i="36"/>
  <c r="X50" i="36"/>
  <c r="W50" i="36"/>
  <c r="AD49" i="36"/>
  <c r="AC49" i="36"/>
  <c r="AB49" i="36"/>
  <c r="AA49" i="36"/>
  <c r="Z49" i="36"/>
  <c r="Y49" i="36"/>
  <c r="X49" i="36"/>
  <c r="W49" i="36"/>
  <c r="AD48" i="36"/>
  <c r="AC48" i="36"/>
  <c r="AB48" i="36"/>
  <c r="AA48" i="36"/>
  <c r="Z48" i="36"/>
  <c r="Y48" i="36"/>
  <c r="X48" i="36"/>
  <c r="W48" i="36"/>
  <c r="AD43" i="36"/>
  <c r="AC43" i="36"/>
  <c r="AB43" i="36"/>
  <c r="AA43" i="36"/>
  <c r="Z43" i="36"/>
  <c r="Y43" i="36"/>
  <c r="X43" i="36"/>
  <c r="W43" i="36"/>
  <c r="AD42" i="36"/>
  <c r="AC42" i="36"/>
  <c r="AB42" i="36"/>
  <c r="AA42" i="36"/>
  <c r="Z42" i="36"/>
  <c r="Y42" i="36"/>
  <c r="X42" i="36"/>
  <c r="W42" i="36"/>
  <c r="AD41" i="36"/>
  <c r="AC41" i="36"/>
  <c r="AB41" i="36"/>
  <c r="AA41" i="36"/>
  <c r="Z41" i="36"/>
  <c r="Y41" i="36"/>
  <c r="X41" i="36"/>
  <c r="W41" i="36"/>
  <c r="AD40" i="36"/>
  <c r="AC40" i="36"/>
  <c r="AB40" i="36"/>
  <c r="AA40" i="36"/>
  <c r="Z40" i="36"/>
  <c r="Y40" i="36"/>
  <c r="X40" i="36"/>
  <c r="W40" i="36"/>
  <c r="AD39" i="36"/>
  <c r="AC39" i="36"/>
  <c r="AB39" i="36"/>
  <c r="AA39" i="36"/>
  <c r="Z39" i="36"/>
  <c r="Y39" i="36"/>
  <c r="X39" i="36"/>
  <c r="W39" i="36"/>
  <c r="AD38" i="36"/>
  <c r="AC38" i="36"/>
  <c r="AB38" i="36"/>
  <c r="AA38" i="36"/>
  <c r="Z38" i="36"/>
  <c r="Y38" i="36"/>
  <c r="X38" i="36"/>
  <c r="W38" i="36"/>
  <c r="AD37" i="36"/>
  <c r="AC37" i="36"/>
  <c r="AB37" i="36"/>
  <c r="AA37" i="36"/>
  <c r="Z37" i="36"/>
  <c r="Y37" i="36"/>
  <c r="X37" i="36"/>
  <c r="W37" i="36"/>
  <c r="AD36" i="36"/>
  <c r="AC36" i="36"/>
  <c r="AB36" i="36"/>
  <c r="AA36" i="36"/>
  <c r="Z36" i="36"/>
  <c r="Y36" i="36"/>
  <c r="X36" i="36"/>
  <c r="W36" i="36"/>
  <c r="AD35" i="36"/>
  <c r="AC35" i="36"/>
  <c r="AB35" i="36"/>
  <c r="AA35" i="36"/>
  <c r="Z35" i="36"/>
  <c r="Y35" i="36"/>
  <c r="X35" i="36"/>
  <c r="W35" i="36"/>
  <c r="S64" i="36"/>
  <c r="R64" i="36"/>
  <c r="Q64" i="36"/>
  <c r="P64" i="36"/>
  <c r="O64" i="36"/>
  <c r="N64" i="36"/>
  <c r="M64" i="36"/>
  <c r="L64" i="36"/>
  <c r="S63" i="36"/>
  <c r="R63" i="36"/>
  <c r="Q63" i="36"/>
  <c r="P63" i="36"/>
  <c r="O63" i="36"/>
  <c r="N63" i="36"/>
  <c r="M63" i="36"/>
  <c r="L63" i="36"/>
  <c r="S62" i="36"/>
  <c r="S70" i="36" s="1"/>
  <c r="R62" i="36"/>
  <c r="R70" i="36" s="1"/>
  <c r="Q62" i="36"/>
  <c r="P62" i="36"/>
  <c r="O62" i="36"/>
  <c r="O70" i="36" s="1"/>
  <c r="N62" i="36"/>
  <c r="N70" i="36" s="1"/>
  <c r="M62" i="36"/>
  <c r="L62" i="36"/>
  <c r="S61" i="36"/>
  <c r="R61" i="36"/>
  <c r="Q61" i="36"/>
  <c r="P61" i="36"/>
  <c r="O61" i="36"/>
  <c r="N61" i="36"/>
  <c r="M61" i="36"/>
  <c r="L61" i="36"/>
  <c r="S60" i="36"/>
  <c r="R60" i="36"/>
  <c r="Q60" i="36"/>
  <c r="P60" i="36"/>
  <c r="O60" i="36"/>
  <c r="N60" i="36"/>
  <c r="M60" i="36"/>
  <c r="L60" i="36"/>
  <c r="S59" i="36"/>
  <c r="R59" i="36"/>
  <c r="Q59" i="36"/>
  <c r="P59" i="36"/>
  <c r="O59" i="36"/>
  <c r="N59" i="36"/>
  <c r="M59" i="36"/>
  <c r="L59" i="36"/>
  <c r="S58" i="36"/>
  <c r="R58" i="36"/>
  <c r="Q58" i="36"/>
  <c r="P58" i="36"/>
  <c r="O58" i="36"/>
  <c r="N58" i="36"/>
  <c r="M58" i="36"/>
  <c r="L58" i="36"/>
  <c r="S57" i="36"/>
  <c r="R57" i="36"/>
  <c r="Q57" i="36"/>
  <c r="P57" i="36"/>
  <c r="O57" i="36"/>
  <c r="N57" i="36"/>
  <c r="M57" i="36"/>
  <c r="L57" i="36"/>
  <c r="S56" i="36"/>
  <c r="R56" i="36"/>
  <c r="Q56" i="36"/>
  <c r="P56" i="36"/>
  <c r="O56" i="36"/>
  <c r="N56" i="36"/>
  <c r="M56" i="36"/>
  <c r="L56" i="36"/>
  <c r="S55" i="36"/>
  <c r="R55" i="36"/>
  <c r="Q55" i="36"/>
  <c r="P55" i="36"/>
  <c r="O55" i="36"/>
  <c r="N55" i="36"/>
  <c r="M55" i="36"/>
  <c r="L55" i="36"/>
  <c r="S54" i="36"/>
  <c r="R54" i="36"/>
  <c r="Q54" i="36"/>
  <c r="P54" i="36"/>
  <c r="O54" i="36"/>
  <c r="N54" i="36"/>
  <c r="M54" i="36"/>
  <c r="L54" i="36"/>
  <c r="S53" i="36"/>
  <c r="R53" i="36"/>
  <c r="Q53" i="36"/>
  <c r="P53" i="36"/>
  <c r="O53" i="36"/>
  <c r="N53" i="36"/>
  <c r="M53" i="36"/>
  <c r="L53" i="36"/>
  <c r="S52" i="36"/>
  <c r="R52" i="36"/>
  <c r="Q52" i="36"/>
  <c r="P52" i="36"/>
  <c r="O52" i="36"/>
  <c r="N52" i="36"/>
  <c r="M52" i="36"/>
  <c r="L52" i="36"/>
  <c r="S51" i="36"/>
  <c r="R51" i="36"/>
  <c r="Q51" i="36"/>
  <c r="P51" i="36"/>
  <c r="O51" i="36"/>
  <c r="N51" i="36"/>
  <c r="M51" i="36"/>
  <c r="L51" i="36"/>
  <c r="S50" i="36"/>
  <c r="R50" i="36"/>
  <c r="Q50" i="36"/>
  <c r="P50" i="36"/>
  <c r="O50" i="36"/>
  <c r="N50" i="36"/>
  <c r="M50" i="36"/>
  <c r="L50" i="36"/>
  <c r="S49" i="36"/>
  <c r="R49" i="36"/>
  <c r="Q49" i="36"/>
  <c r="P49" i="36"/>
  <c r="O49" i="36"/>
  <c r="N49" i="36"/>
  <c r="M49" i="36"/>
  <c r="L49" i="36"/>
  <c r="S48" i="36"/>
  <c r="R48" i="36"/>
  <c r="Q48" i="36"/>
  <c r="P48" i="36"/>
  <c r="O48" i="36"/>
  <c r="N48" i="36"/>
  <c r="M48" i="36"/>
  <c r="L48" i="36"/>
  <c r="R47" i="36"/>
  <c r="P47" i="36"/>
  <c r="N47" i="36"/>
  <c r="L47" i="36"/>
  <c r="S46" i="36"/>
  <c r="R46" i="36"/>
  <c r="Q46" i="36"/>
  <c r="P46" i="36"/>
  <c r="O46" i="36"/>
  <c r="N46" i="36"/>
  <c r="M46" i="36"/>
  <c r="L46" i="36"/>
  <c r="L45" i="36"/>
  <c r="L44" i="36"/>
  <c r="S43" i="36"/>
  <c r="R43" i="36"/>
  <c r="Q43" i="36"/>
  <c r="P43" i="36"/>
  <c r="O43" i="36"/>
  <c r="N43" i="36"/>
  <c r="M43" i="36"/>
  <c r="L43" i="36"/>
  <c r="S42" i="36"/>
  <c r="R42" i="36"/>
  <c r="Q42" i="36"/>
  <c r="P42" i="36"/>
  <c r="O42" i="36"/>
  <c r="N42" i="36"/>
  <c r="M42" i="36"/>
  <c r="L42" i="36"/>
  <c r="S41" i="36"/>
  <c r="R41" i="36"/>
  <c r="Q41" i="36"/>
  <c r="P41" i="36"/>
  <c r="O41" i="36"/>
  <c r="N41" i="36"/>
  <c r="M41" i="36"/>
  <c r="L41" i="36"/>
  <c r="S40" i="36"/>
  <c r="R40" i="36"/>
  <c r="Q40" i="36"/>
  <c r="P40" i="36"/>
  <c r="O40" i="36"/>
  <c r="N40" i="36"/>
  <c r="M40" i="36"/>
  <c r="L40" i="36"/>
  <c r="S39" i="36"/>
  <c r="R39" i="36"/>
  <c r="Q39" i="36"/>
  <c r="P39" i="36"/>
  <c r="O39" i="36"/>
  <c r="N39" i="36"/>
  <c r="M39" i="36"/>
  <c r="L39" i="36"/>
  <c r="S38" i="36"/>
  <c r="R38" i="36"/>
  <c r="Q38" i="36"/>
  <c r="P38" i="36"/>
  <c r="O38" i="36"/>
  <c r="N38" i="36"/>
  <c r="M38" i="36"/>
  <c r="L38" i="36"/>
  <c r="S37" i="36"/>
  <c r="R37" i="36"/>
  <c r="Q37" i="36"/>
  <c r="P37" i="36"/>
  <c r="O37" i="36"/>
  <c r="N37" i="36"/>
  <c r="M37" i="36"/>
  <c r="L37" i="36"/>
  <c r="S36" i="36"/>
  <c r="R36" i="36"/>
  <c r="Q36" i="36"/>
  <c r="P36" i="36"/>
  <c r="O36" i="36"/>
  <c r="N36" i="36"/>
  <c r="M36" i="36"/>
  <c r="L36" i="36"/>
  <c r="S35" i="36"/>
  <c r="R35" i="36"/>
  <c r="Q35" i="36"/>
  <c r="P35" i="36"/>
  <c r="O35" i="36"/>
  <c r="N35" i="36"/>
  <c r="M35" i="36"/>
  <c r="L35" i="36"/>
  <c r="J64" i="36"/>
  <c r="I64" i="36"/>
  <c r="H64" i="36"/>
  <c r="G64" i="36"/>
  <c r="F64" i="36"/>
  <c r="E64" i="36"/>
  <c r="D64" i="36"/>
  <c r="J63" i="36"/>
  <c r="I63" i="36"/>
  <c r="H63" i="36"/>
  <c r="G63" i="36"/>
  <c r="F63" i="36"/>
  <c r="E63" i="36"/>
  <c r="D63" i="36"/>
  <c r="J62" i="36"/>
  <c r="J70" i="36" s="1"/>
  <c r="I62" i="36"/>
  <c r="H62" i="36"/>
  <c r="G62" i="36"/>
  <c r="F62" i="36"/>
  <c r="E62" i="36"/>
  <c r="D62" i="36"/>
  <c r="J61" i="36"/>
  <c r="I61" i="36"/>
  <c r="H61" i="36"/>
  <c r="G61" i="36"/>
  <c r="F61" i="36"/>
  <c r="E61" i="36"/>
  <c r="D61" i="36"/>
  <c r="J60" i="36"/>
  <c r="I60" i="36"/>
  <c r="H60" i="36"/>
  <c r="G60" i="36"/>
  <c r="F60" i="36"/>
  <c r="E60" i="36"/>
  <c r="D60" i="36"/>
  <c r="J59" i="36"/>
  <c r="I59" i="36"/>
  <c r="H59" i="36"/>
  <c r="G59" i="36"/>
  <c r="F59" i="36"/>
  <c r="E59" i="36"/>
  <c r="D59" i="36"/>
  <c r="J58" i="36"/>
  <c r="I58" i="36"/>
  <c r="H58" i="36"/>
  <c r="G58" i="36"/>
  <c r="F58" i="36"/>
  <c r="E58" i="36"/>
  <c r="D58" i="36"/>
  <c r="J57" i="36"/>
  <c r="I57" i="36"/>
  <c r="H57" i="36"/>
  <c r="G57" i="36"/>
  <c r="F57" i="36"/>
  <c r="E57" i="36"/>
  <c r="D57" i="36"/>
  <c r="J56" i="36"/>
  <c r="I56" i="36"/>
  <c r="H56" i="36"/>
  <c r="G56" i="36"/>
  <c r="F56" i="36"/>
  <c r="E56" i="36"/>
  <c r="D56" i="36"/>
  <c r="J55" i="36"/>
  <c r="I55" i="36"/>
  <c r="H55" i="36"/>
  <c r="G55" i="36"/>
  <c r="F55" i="36"/>
  <c r="E55" i="36"/>
  <c r="D55" i="36"/>
  <c r="J54" i="36"/>
  <c r="I54" i="36"/>
  <c r="H54" i="36"/>
  <c r="G54" i="36"/>
  <c r="F54" i="36"/>
  <c r="E54" i="36"/>
  <c r="D54" i="36"/>
  <c r="J53" i="36"/>
  <c r="I53" i="36"/>
  <c r="H53" i="36"/>
  <c r="G53" i="36"/>
  <c r="F53" i="36"/>
  <c r="E53" i="36"/>
  <c r="D53" i="36"/>
  <c r="J52" i="36"/>
  <c r="I52" i="36"/>
  <c r="H52" i="36"/>
  <c r="G52" i="36"/>
  <c r="F52" i="36"/>
  <c r="E52" i="36"/>
  <c r="D52" i="36"/>
  <c r="J51" i="36"/>
  <c r="I51" i="36"/>
  <c r="H51" i="36"/>
  <c r="G51" i="36"/>
  <c r="F51" i="36"/>
  <c r="E51" i="36"/>
  <c r="D51" i="36"/>
  <c r="J50" i="36"/>
  <c r="I50" i="36"/>
  <c r="H50" i="36"/>
  <c r="G50" i="36"/>
  <c r="F50" i="36"/>
  <c r="E50" i="36"/>
  <c r="D50" i="36"/>
  <c r="J49" i="36"/>
  <c r="I49" i="36"/>
  <c r="H49" i="36"/>
  <c r="G49" i="36"/>
  <c r="F49" i="36"/>
  <c r="E49" i="36"/>
  <c r="D49" i="36"/>
  <c r="J48" i="36"/>
  <c r="I48" i="36"/>
  <c r="H48" i="36"/>
  <c r="G48" i="36"/>
  <c r="F48" i="36"/>
  <c r="E48" i="36"/>
  <c r="D48" i="36"/>
  <c r="J43" i="36"/>
  <c r="I43" i="36"/>
  <c r="H43" i="36"/>
  <c r="G43" i="36"/>
  <c r="F43" i="36"/>
  <c r="E43" i="36"/>
  <c r="D43" i="36"/>
  <c r="J42" i="36"/>
  <c r="I42" i="36"/>
  <c r="H42" i="36"/>
  <c r="G42" i="36"/>
  <c r="F42" i="36"/>
  <c r="E42" i="36"/>
  <c r="D42" i="36"/>
  <c r="J41" i="36"/>
  <c r="I41" i="36"/>
  <c r="H41" i="36"/>
  <c r="G41" i="36"/>
  <c r="F41" i="36"/>
  <c r="E41" i="36"/>
  <c r="D41" i="36"/>
  <c r="J40" i="36"/>
  <c r="I40" i="36"/>
  <c r="H40" i="36"/>
  <c r="G40" i="36"/>
  <c r="F40" i="36"/>
  <c r="E40" i="36"/>
  <c r="D40" i="36"/>
  <c r="J39" i="36"/>
  <c r="I39" i="36"/>
  <c r="H39" i="36"/>
  <c r="G39" i="36"/>
  <c r="F39" i="36"/>
  <c r="E39" i="36"/>
  <c r="D39" i="36"/>
  <c r="J38" i="36"/>
  <c r="I38" i="36"/>
  <c r="H38" i="36"/>
  <c r="G38" i="36"/>
  <c r="F38" i="36"/>
  <c r="E38" i="36"/>
  <c r="D38" i="36"/>
  <c r="J37" i="36"/>
  <c r="I37" i="36"/>
  <c r="H37" i="36"/>
  <c r="G37" i="36"/>
  <c r="F37" i="36"/>
  <c r="E37" i="36"/>
  <c r="D37" i="36"/>
  <c r="J36" i="36"/>
  <c r="I36" i="36"/>
  <c r="H36" i="36"/>
  <c r="G36" i="36"/>
  <c r="F36" i="36"/>
  <c r="E36" i="36"/>
  <c r="D36" i="36"/>
  <c r="J35" i="36"/>
  <c r="I35" i="36"/>
  <c r="H35" i="36"/>
  <c r="G35" i="36"/>
  <c r="F35" i="36"/>
  <c r="E35" i="36"/>
  <c r="D35" i="36"/>
  <c r="C64" i="36"/>
  <c r="C63" i="36"/>
  <c r="C62" i="36"/>
  <c r="C61" i="36"/>
  <c r="C60" i="36"/>
  <c r="C59" i="36"/>
  <c r="C58" i="36"/>
  <c r="C57" i="36"/>
  <c r="C56" i="36"/>
  <c r="C55" i="36"/>
  <c r="C54" i="36"/>
  <c r="C53" i="36"/>
  <c r="C52" i="36"/>
  <c r="C51" i="36"/>
  <c r="C50" i="36"/>
  <c r="C49" i="36"/>
  <c r="C48" i="36"/>
  <c r="C43" i="36"/>
  <c r="C42" i="36"/>
  <c r="C41" i="36"/>
  <c r="C40" i="36"/>
  <c r="C39" i="36"/>
  <c r="C38" i="36"/>
  <c r="C37" i="36"/>
  <c r="C36" i="36"/>
  <c r="C35" i="36"/>
  <c r="CA28" i="36"/>
  <c r="BZ28" i="36"/>
  <c r="BY28" i="36"/>
  <c r="BX28" i="36"/>
  <c r="BW28" i="36"/>
  <c r="BV28" i="36"/>
  <c r="BU28" i="36"/>
  <c r="BT28" i="36"/>
  <c r="CB28" i="36" s="1"/>
  <c r="BR28" i="36"/>
  <c r="BQ28" i="36"/>
  <c r="BP28" i="36"/>
  <c r="BO28" i="36"/>
  <c r="BN28" i="36"/>
  <c r="BM28" i="36"/>
  <c r="BL28" i="36"/>
  <c r="BK28" i="36"/>
  <c r="CA27" i="36"/>
  <c r="BZ27" i="36"/>
  <c r="BY27" i="36"/>
  <c r="BX27" i="36"/>
  <c r="BW27" i="36"/>
  <c r="BV27" i="36"/>
  <c r="BU27" i="36"/>
  <c r="BT27" i="36"/>
  <c r="CB27" i="36" s="1"/>
  <c r="BR27" i="36"/>
  <c r="BQ27" i="36"/>
  <c r="BP27" i="36"/>
  <c r="BO27" i="36"/>
  <c r="BN27" i="36"/>
  <c r="BM27" i="36"/>
  <c r="BL27" i="36"/>
  <c r="BK27" i="36"/>
  <c r="CA26" i="36"/>
  <c r="BZ26" i="36"/>
  <c r="BY26" i="36"/>
  <c r="BX26" i="36"/>
  <c r="BW26" i="36"/>
  <c r="BV26" i="36"/>
  <c r="BU26" i="36"/>
  <c r="BT26" i="36"/>
  <c r="CB26" i="36" s="1"/>
  <c r="BR26" i="36"/>
  <c r="BQ26" i="36"/>
  <c r="BP26" i="36"/>
  <c r="BO26" i="36"/>
  <c r="BN26" i="36"/>
  <c r="BM26" i="36"/>
  <c r="BL26" i="36"/>
  <c r="BK26" i="36"/>
  <c r="CA25" i="36"/>
  <c r="BZ25" i="36"/>
  <c r="BY25" i="36"/>
  <c r="BX25" i="36"/>
  <c r="BW25" i="36"/>
  <c r="BV25" i="36"/>
  <c r="BU25" i="36"/>
  <c r="BT25" i="36"/>
  <c r="BZ22" i="36"/>
  <c r="BX22" i="36"/>
  <c r="BV22" i="36"/>
  <c r="BT22" i="36"/>
  <c r="BR22" i="36"/>
  <c r="BQ22" i="36"/>
  <c r="BP22" i="36"/>
  <c r="BO22" i="36"/>
  <c r="BN22" i="36"/>
  <c r="BM22" i="36"/>
  <c r="BL22" i="36"/>
  <c r="BK22" i="36"/>
  <c r="CA21" i="36"/>
  <c r="BZ21" i="36"/>
  <c r="BY21" i="36"/>
  <c r="BX21" i="36"/>
  <c r="BW21" i="36"/>
  <c r="BV21" i="36"/>
  <c r="BU21" i="36"/>
  <c r="BT21" i="36"/>
  <c r="BR21" i="36"/>
  <c r="BQ21" i="36"/>
  <c r="BP21" i="36"/>
  <c r="BO21" i="36"/>
  <c r="BN21" i="36"/>
  <c r="BM21" i="36"/>
  <c r="BL21" i="36"/>
  <c r="BK21" i="36"/>
  <c r="BS21" i="36" s="1"/>
  <c r="CA19" i="36"/>
  <c r="BZ19" i="36"/>
  <c r="BY19" i="36"/>
  <c r="BX19" i="36"/>
  <c r="BW19" i="36"/>
  <c r="BV19" i="36"/>
  <c r="BU19" i="36"/>
  <c r="BT19" i="36"/>
  <c r="BR19" i="36"/>
  <c r="BQ19" i="36"/>
  <c r="BP19" i="36"/>
  <c r="BO19" i="36"/>
  <c r="BN19" i="36"/>
  <c r="BM19" i="36"/>
  <c r="BL19" i="36"/>
  <c r="BK19" i="36"/>
  <c r="CA18" i="36"/>
  <c r="BZ18" i="36"/>
  <c r="BY18" i="36"/>
  <c r="BX18" i="36"/>
  <c r="BW18" i="36"/>
  <c r="BV18" i="36"/>
  <c r="BU18" i="36"/>
  <c r="BT18" i="36"/>
  <c r="BR18" i="36"/>
  <c r="BQ18" i="36"/>
  <c r="BP18" i="36"/>
  <c r="BO18" i="36"/>
  <c r="BN18" i="36"/>
  <c r="BM18" i="36"/>
  <c r="BL18" i="36"/>
  <c r="BK18" i="36"/>
  <c r="CA17" i="36"/>
  <c r="BZ17" i="36"/>
  <c r="BY17" i="36"/>
  <c r="BX17" i="36"/>
  <c r="BW17" i="36"/>
  <c r="BV17" i="36"/>
  <c r="BU17" i="36"/>
  <c r="BT17" i="36"/>
  <c r="BR17" i="36"/>
  <c r="BR20" i="36" s="1"/>
  <c r="BQ17" i="36"/>
  <c r="BP17" i="36"/>
  <c r="BO17" i="36"/>
  <c r="BN17" i="36"/>
  <c r="BM17" i="36"/>
  <c r="BL17" i="36"/>
  <c r="BK17" i="36"/>
  <c r="CA16" i="36"/>
  <c r="BZ16" i="36"/>
  <c r="BY16" i="36"/>
  <c r="BX16" i="36"/>
  <c r="BW16" i="36"/>
  <c r="BV16" i="36"/>
  <c r="BU16" i="36"/>
  <c r="BT16" i="36"/>
  <c r="BR16" i="36"/>
  <c r="BQ16" i="36"/>
  <c r="BP16" i="36"/>
  <c r="BO16" i="36"/>
  <c r="BN16" i="36"/>
  <c r="BM16" i="36"/>
  <c r="BL16" i="36"/>
  <c r="BK16" i="36"/>
  <c r="BG28" i="36"/>
  <c r="BF28" i="36"/>
  <c r="BE28" i="36"/>
  <c r="BD28" i="36"/>
  <c r="BC28" i="36"/>
  <c r="BB28" i="36"/>
  <c r="BA28" i="36"/>
  <c r="AZ28" i="36"/>
  <c r="AX28" i="36"/>
  <c r="AW28" i="36"/>
  <c r="AV28" i="36"/>
  <c r="AU28" i="36"/>
  <c r="AT28" i="36"/>
  <c r="AS28" i="36"/>
  <c r="AR28" i="36"/>
  <c r="AQ28" i="36"/>
  <c r="BG27" i="36"/>
  <c r="BF27" i="36"/>
  <c r="BE27" i="36"/>
  <c r="BD27" i="36"/>
  <c r="BC27" i="36"/>
  <c r="BB27" i="36"/>
  <c r="BA27" i="36"/>
  <c r="AZ27" i="36"/>
  <c r="AX27" i="36"/>
  <c r="AW27" i="36"/>
  <c r="AV27" i="36"/>
  <c r="AU27" i="36"/>
  <c r="AT27" i="36"/>
  <c r="AS27" i="36"/>
  <c r="AR27" i="36"/>
  <c r="AQ27" i="36"/>
  <c r="BG26" i="36"/>
  <c r="BF26" i="36"/>
  <c r="BE26" i="36"/>
  <c r="BD26" i="36"/>
  <c r="BC26" i="36"/>
  <c r="BB26" i="36"/>
  <c r="BA26" i="36"/>
  <c r="AZ26" i="36"/>
  <c r="AX26" i="36"/>
  <c r="AW26" i="36"/>
  <c r="AV26" i="36"/>
  <c r="AU26" i="36"/>
  <c r="AT26" i="36"/>
  <c r="AS26" i="36"/>
  <c r="AR26" i="36"/>
  <c r="AQ26" i="36"/>
  <c r="BG25" i="36"/>
  <c r="BF25" i="36"/>
  <c r="BE25" i="36"/>
  <c r="BD25" i="36"/>
  <c r="BC25" i="36"/>
  <c r="BB25" i="36"/>
  <c r="BA25" i="36"/>
  <c r="AZ25" i="36"/>
  <c r="AX25" i="36"/>
  <c r="AW25" i="36"/>
  <c r="AV25" i="36"/>
  <c r="AU25" i="36"/>
  <c r="AT25" i="36"/>
  <c r="AS25" i="36"/>
  <c r="AR25" i="36"/>
  <c r="AQ25" i="36"/>
  <c r="BF22" i="36"/>
  <c r="BD22" i="36"/>
  <c r="BB22" i="36"/>
  <c r="AZ22" i="36"/>
  <c r="AX22" i="36"/>
  <c r="AW22" i="36"/>
  <c r="AV22" i="36"/>
  <c r="AU22" i="36"/>
  <c r="AT22" i="36"/>
  <c r="AS22" i="36"/>
  <c r="AR22" i="36"/>
  <c r="AQ22" i="36"/>
  <c r="BG21" i="36"/>
  <c r="BF21" i="36"/>
  <c r="BE21" i="36"/>
  <c r="BD21" i="36"/>
  <c r="BC21" i="36"/>
  <c r="BB21" i="36"/>
  <c r="BA21" i="36"/>
  <c r="AZ21" i="36"/>
  <c r="AX21" i="36"/>
  <c r="AW21" i="36"/>
  <c r="AV21" i="36"/>
  <c r="AU21" i="36"/>
  <c r="AT21" i="36"/>
  <c r="AS21" i="36"/>
  <c r="AR21" i="36"/>
  <c r="AQ21" i="36"/>
  <c r="BG19" i="36"/>
  <c r="BF19" i="36"/>
  <c r="BE19" i="36"/>
  <c r="BD19" i="36"/>
  <c r="BC19" i="36"/>
  <c r="BB19" i="36"/>
  <c r="BA19" i="36"/>
  <c r="AZ19" i="36"/>
  <c r="AX19" i="36"/>
  <c r="AW19" i="36"/>
  <c r="AV19" i="36"/>
  <c r="AU19" i="36"/>
  <c r="AT19" i="36"/>
  <c r="AS19" i="36"/>
  <c r="AR19" i="36"/>
  <c r="AQ19" i="36"/>
  <c r="BG18" i="36"/>
  <c r="BF18" i="36"/>
  <c r="BE18" i="36"/>
  <c r="BD18" i="36"/>
  <c r="BC18" i="36"/>
  <c r="BB18" i="36"/>
  <c r="BA18" i="36"/>
  <c r="AZ18" i="36"/>
  <c r="AX18" i="36"/>
  <c r="AW18" i="36"/>
  <c r="AV18" i="36"/>
  <c r="AU18" i="36"/>
  <c r="AT18" i="36"/>
  <c r="AS18" i="36"/>
  <c r="AR18" i="36"/>
  <c r="AQ18" i="36"/>
  <c r="BG17" i="36"/>
  <c r="BF17" i="36"/>
  <c r="BE17" i="36"/>
  <c r="BD17" i="36"/>
  <c r="BC17" i="36"/>
  <c r="BB17" i="36"/>
  <c r="BA17" i="36"/>
  <c r="AZ17" i="36"/>
  <c r="AX17" i="36"/>
  <c r="AW17" i="36"/>
  <c r="AV17" i="36"/>
  <c r="AU17" i="36"/>
  <c r="AT17" i="36"/>
  <c r="AS17" i="36"/>
  <c r="AR17" i="36"/>
  <c r="AQ17" i="36"/>
  <c r="AQ20" i="36" s="1"/>
  <c r="BG16" i="36"/>
  <c r="BF16" i="36"/>
  <c r="BE16" i="36"/>
  <c r="BD16" i="36"/>
  <c r="BC16" i="36"/>
  <c r="BB16" i="36"/>
  <c r="BA16" i="36"/>
  <c r="AZ16" i="36"/>
  <c r="AX16" i="36"/>
  <c r="AW16" i="36"/>
  <c r="AV16" i="36"/>
  <c r="AU16" i="36"/>
  <c r="AT16" i="36"/>
  <c r="AS16" i="36"/>
  <c r="AR16" i="36"/>
  <c r="AQ16" i="36"/>
  <c r="AM28" i="36"/>
  <c r="AL28" i="36"/>
  <c r="AK28" i="36"/>
  <c r="AJ28" i="36"/>
  <c r="AI28" i="36"/>
  <c r="AH28" i="36"/>
  <c r="AG28" i="36"/>
  <c r="AF28" i="36"/>
  <c r="AD28" i="36"/>
  <c r="AC28" i="36"/>
  <c r="AB28" i="36"/>
  <c r="AA28" i="36"/>
  <c r="Z28" i="36"/>
  <c r="Y28" i="36"/>
  <c r="X28" i="36"/>
  <c r="W28" i="36"/>
  <c r="AM27" i="36"/>
  <c r="AL27" i="36"/>
  <c r="AK27" i="36"/>
  <c r="AJ27" i="36"/>
  <c r="AI27" i="36"/>
  <c r="AH27" i="36"/>
  <c r="AG27" i="36"/>
  <c r="AF27" i="36"/>
  <c r="AD27" i="36"/>
  <c r="AC27" i="36"/>
  <c r="AB27" i="36"/>
  <c r="AA27" i="36"/>
  <c r="Z27" i="36"/>
  <c r="Y27" i="36"/>
  <c r="X27" i="36"/>
  <c r="W27" i="36"/>
  <c r="AM26" i="36"/>
  <c r="AL26" i="36"/>
  <c r="AK26" i="36"/>
  <c r="AJ26" i="36"/>
  <c r="AI26" i="36"/>
  <c r="AH26" i="36"/>
  <c r="AG26" i="36"/>
  <c r="AF26" i="36"/>
  <c r="AD26" i="36"/>
  <c r="AC26" i="36"/>
  <c r="AB26" i="36"/>
  <c r="AA26" i="36"/>
  <c r="Z26" i="36"/>
  <c r="Y26" i="36"/>
  <c r="X26" i="36"/>
  <c r="W26" i="36"/>
  <c r="AM25" i="36"/>
  <c r="AL25" i="36"/>
  <c r="AK25" i="36"/>
  <c r="AJ25" i="36"/>
  <c r="AI25" i="36"/>
  <c r="AH25" i="36"/>
  <c r="AG25" i="36"/>
  <c r="AF25" i="36"/>
  <c r="AD25" i="36"/>
  <c r="AC25" i="36"/>
  <c r="AB25" i="36"/>
  <c r="AA25" i="36"/>
  <c r="Z25" i="36"/>
  <c r="Y25" i="36"/>
  <c r="X25" i="36"/>
  <c r="W25" i="36"/>
  <c r="AL22" i="36"/>
  <c r="AJ22" i="36"/>
  <c r="AH22" i="36"/>
  <c r="AF22" i="36"/>
  <c r="AD22" i="36"/>
  <c r="AC22" i="36"/>
  <c r="AB22" i="36"/>
  <c r="AA22" i="36"/>
  <c r="Z22" i="36"/>
  <c r="Y22" i="36"/>
  <c r="X22" i="36"/>
  <c r="W22" i="36"/>
  <c r="AM21" i="36"/>
  <c r="AL21" i="36"/>
  <c r="AK21" i="36"/>
  <c r="AJ21" i="36"/>
  <c r="AI21" i="36"/>
  <c r="AH21" i="36"/>
  <c r="AG21" i="36"/>
  <c r="AF21" i="36"/>
  <c r="AD21" i="36"/>
  <c r="AC21" i="36"/>
  <c r="AB21" i="36"/>
  <c r="AA21" i="36"/>
  <c r="Z21" i="36"/>
  <c r="Y21" i="36"/>
  <c r="X21" i="36"/>
  <c r="W21" i="36"/>
  <c r="AM19" i="36"/>
  <c r="AL19" i="36"/>
  <c r="AK19" i="36"/>
  <c r="AJ19" i="36"/>
  <c r="AI19" i="36"/>
  <c r="AH19" i="36"/>
  <c r="AG19" i="36"/>
  <c r="AF19" i="36"/>
  <c r="AD19" i="36"/>
  <c r="AC19" i="36"/>
  <c r="AB19" i="36"/>
  <c r="AA19" i="36"/>
  <c r="Z19" i="36"/>
  <c r="Y19" i="36"/>
  <c r="X19" i="36"/>
  <c r="W19" i="36"/>
  <c r="AM18" i="36"/>
  <c r="AL18" i="36"/>
  <c r="AK18" i="36"/>
  <c r="AJ18" i="36"/>
  <c r="AI18" i="36"/>
  <c r="AH18" i="36"/>
  <c r="AG18" i="36"/>
  <c r="AF18" i="36"/>
  <c r="AD18" i="36"/>
  <c r="AC18" i="36"/>
  <c r="AB18" i="36"/>
  <c r="AA18" i="36"/>
  <c r="Z18" i="36"/>
  <c r="Y18" i="36"/>
  <c r="X18" i="36"/>
  <c r="W18" i="36"/>
  <c r="AM17" i="36"/>
  <c r="AL17" i="36"/>
  <c r="AK17" i="36"/>
  <c r="AJ17" i="36"/>
  <c r="AI17" i="36"/>
  <c r="AH17" i="36"/>
  <c r="AG17" i="36"/>
  <c r="AF17" i="36"/>
  <c r="AD17" i="36"/>
  <c r="AC17" i="36"/>
  <c r="AB17" i="36"/>
  <c r="AA17" i="36"/>
  <c r="Z17" i="36"/>
  <c r="Y17" i="36"/>
  <c r="Y20" i="36" s="1"/>
  <c r="X17" i="36"/>
  <c r="W17" i="36"/>
  <c r="AM16" i="36"/>
  <c r="AL16" i="36"/>
  <c r="AK16" i="36"/>
  <c r="AJ16" i="36"/>
  <c r="AI16" i="36"/>
  <c r="AH16" i="36"/>
  <c r="AG16" i="36"/>
  <c r="AF16" i="36"/>
  <c r="AD16" i="36"/>
  <c r="AC16" i="36"/>
  <c r="AB16" i="36"/>
  <c r="AA16" i="36"/>
  <c r="Z16" i="36"/>
  <c r="Y16" i="36"/>
  <c r="X16" i="36"/>
  <c r="W16" i="36"/>
  <c r="S28" i="36"/>
  <c r="R28" i="36"/>
  <c r="Q28" i="36"/>
  <c r="P28" i="36"/>
  <c r="O28" i="36"/>
  <c r="N28" i="36"/>
  <c r="M28" i="36"/>
  <c r="L28" i="36"/>
  <c r="S27" i="36"/>
  <c r="R27" i="36"/>
  <c r="Q27" i="36"/>
  <c r="P27" i="36"/>
  <c r="O27" i="36"/>
  <c r="N27" i="36"/>
  <c r="M27" i="36"/>
  <c r="L27" i="36"/>
  <c r="S26" i="36"/>
  <c r="R26" i="36"/>
  <c r="Q26" i="36"/>
  <c r="P26" i="36"/>
  <c r="O26" i="36"/>
  <c r="N26" i="36"/>
  <c r="M26" i="36"/>
  <c r="L26" i="36"/>
  <c r="S25" i="36"/>
  <c r="R25" i="36"/>
  <c r="Q25" i="36"/>
  <c r="P25" i="36"/>
  <c r="O25" i="36"/>
  <c r="N25" i="36"/>
  <c r="M25" i="36"/>
  <c r="L25" i="36"/>
  <c r="R22" i="36"/>
  <c r="P22" i="36"/>
  <c r="N22" i="36"/>
  <c r="L22" i="36"/>
  <c r="S21" i="36"/>
  <c r="R21" i="36"/>
  <c r="Q21" i="36"/>
  <c r="P21" i="36"/>
  <c r="O21" i="36"/>
  <c r="N21" i="36"/>
  <c r="M21" i="36"/>
  <c r="L21" i="36"/>
  <c r="S19" i="36"/>
  <c r="R19" i="36"/>
  <c r="Q19" i="36"/>
  <c r="P19" i="36"/>
  <c r="O19" i="36"/>
  <c r="N19" i="36"/>
  <c r="M19" i="36"/>
  <c r="L19" i="36"/>
  <c r="S18" i="36"/>
  <c r="R18" i="36"/>
  <c r="Q18" i="36"/>
  <c r="P18" i="36"/>
  <c r="O18" i="36"/>
  <c r="N18" i="36"/>
  <c r="M18" i="36"/>
  <c r="L18" i="36"/>
  <c r="S17" i="36"/>
  <c r="R17" i="36"/>
  <c r="Q17" i="36"/>
  <c r="P17" i="36"/>
  <c r="O17" i="36"/>
  <c r="N17" i="36"/>
  <c r="M17" i="36"/>
  <c r="L17" i="36"/>
  <c r="S16" i="36"/>
  <c r="R16" i="36"/>
  <c r="Q16" i="36"/>
  <c r="P16" i="36"/>
  <c r="O16" i="36"/>
  <c r="N16" i="36"/>
  <c r="M16" i="36"/>
  <c r="L16" i="36"/>
  <c r="J28" i="36"/>
  <c r="I28" i="36"/>
  <c r="H28" i="36"/>
  <c r="G28" i="36"/>
  <c r="F28" i="36"/>
  <c r="E28" i="36"/>
  <c r="D28" i="36"/>
  <c r="J27" i="36"/>
  <c r="I27" i="36"/>
  <c r="H27" i="36"/>
  <c r="G27" i="36"/>
  <c r="F27" i="36"/>
  <c r="E27" i="36"/>
  <c r="D27" i="36"/>
  <c r="J26" i="36"/>
  <c r="I26" i="36"/>
  <c r="H26" i="36"/>
  <c r="G26" i="36"/>
  <c r="F26" i="36"/>
  <c r="E26" i="36"/>
  <c r="D26" i="36"/>
  <c r="J25" i="36"/>
  <c r="I25" i="36"/>
  <c r="H25" i="36"/>
  <c r="G25" i="36"/>
  <c r="F25" i="36"/>
  <c r="E25" i="36"/>
  <c r="D25" i="36"/>
  <c r="J22" i="36"/>
  <c r="I22" i="36"/>
  <c r="H22" i="36"/>
  <c r="G22" i="36"/>
  <c r="F22" i="36"/>
  <c r="E22" i="36"/>
  <c r="D22" i="36"/>
  <c r="J21" i="36"/>
  <c r="I21" i="36"/>
  <c r="H21" i="36"/>
  <c r="G21" i="36"/>
  <c r="F21" i="36"/>
  <c r="E21" i="36"/>
  <c r="D21" i="36"/>
  <c r="J19" i="36"/>
  <c r="I19" i="36"/>
  <c r="H19" i="36"/>
  <c r="G19" i="36"/>
  <c r="F19" i="36"/>
  <c r="E19" i="36"/>
  <c r="D19" i="36"/>
  <c r="J18" i="36"/>
  <c r="I18" i="36"/>
  <c r="H18" i="36"/>
  <c r="G18" i="36"/>
  <c r="F18" i="36"/>
  <c r="E18" i="36"/>
  <c r="D18" i="36"/>
  <c r="J17" i="36"/>
  <c r="I17" i="36"/>
  <c r="H17" i="36"/>
  <c r="G17" i="36"/>
  <c r="F17" i="36"/>
  <c r="E17" i="36"/>
  <c r="D17" i="36"/>
  <c r="J16" i="36"/>
  <c r="I16" i="36"/>
  <c r="H16" i="36"/>
  <c r="G16" i="36"/>
  <c r="F16" i="36"/>
  <c r="E16" i="36"/>
  <c r="D16" i="36"/>
  <c r="C28" i="36"/>
  <c r="C27" i="36"/>
  <c r="C26" i="36"/>
  <c r="C25" i="36"/>
  <c r="C22" i="36"/>
  <c r="C21" i="36"/>
  <c r="C19" i="36"/>
  <c r="C18" i="36"/>
  <c r="C17" i="36"/>
  <c r="C16" i="36"/>
  <c r="CR85" i="54"/>
  <c r="CQ85" i="54"/>
  <c r="CP85" i="54"/>
  <c r="CO85" i="54"/>
  <c r="CM85" i="54"/>
  <c r="CL85" i="54"/>
  <c r="CK85" i="54"/>
  <c r="CJ85" i="54"/>
  <c r="CH85" i="54"/>
  <c r="CG85" i="54"/>
  <c r="CF85" i="54"/>
  <c r="CE85" i="54"/>
  <c r="CB85" i="54"/>
  <c r="BS85" i="54"/>
  <c r="BH85" i="54"/>
  <c r="AY85" i="54"/>
  <c r="BI85" i="54" s="1"/>
  <c r="AO85" i="54"/>
  <c r="AN85" i="54"/>
  <c r="AE85" i="54"/>
  <c r="U85" i="54"/>
  <c r="T85" i="54"/>
  <c r="CN85" i="54" s="1"/>
  <c r="K85" i="54"/>
  <c r="CR84" i="54"/>
  <c r="CQ84" i="54"/>
  <c r="CP84" i="54"/>
  <c r="CO84" i="54"/>
  <c r="CM84" i="54"/>
  <c r="CL84" i="54"/>
  <c r="CK84" i="54"/>
  <c r="CJ84" i="54"/>
  <c r="CH84" i="54"/>
  <c r="CG84" i="54"/>
  <c r="CF84" i="54"/>
  <c r="CE84" i="54"/>
  <c r="CB84" i="54"/>
  <c r="BS84" i="54"/>
  <c r="BH84" i="54"/>
  <c r="AY84" i="54"/>
  <c r="BI84" i="54" s="1"/>
  <c r="AN84" i="54"/>
  <c r="AE84" i="54"/>
  <c r="AO84" i="54" s="1"/>
  <c r="T84" i="54"/>
  <c r="K84" i="54"/>
  <c r="CI84" i="54" s="1"/>
  <c r="CR83" i="54"/>
  <c r="CQ83" i="54"/>
  <c r="CP83" i="54"/>
  <c r="CO83" i="54"/>
  <c r="CM83" i="54"/>
  <c r="CL83" i="54"/>
  <c r="CK83" i="54"/>
  <c r="CJ83" i="54"/>
  <c r="CH83" i="54"/>
  <c r="CG83" i="54"/>
  <c r="CF83" i="54"/>
  <c r="CE83" i="54"/>
  <c r="CB83" i="54"/>
  <c r="BS83" i="54"/>
  <c r="BH83" i="54"/>
  <c r="AY83" i="54"/>
  <c r="BI83" i="54" s="1"/>
  <c r="AN83" i="54"/>
  <c r="AE83" i="54"/>
  <c r="T83" i="54"/>
  <c r="K83" i="54"/>
  <c r="U83" i="54" s="1"/>
  <c r="CR82" i="54"/>
  <c r="CQ82" i="54"/>
  <c r="CP82" i="54"/>
  <c r="CO82" i="54"/>
  <c r="CM82" i="54"/>
  <c r="CL82" i="54"/>
  <c r="CK82" i="54"/>
  <c r="CJ82" i="54"/>
  <c r="CH82" i="54"/>
  <c r="CG82" i="54"/>
  <c r="CF82" i="54"/>
  <c r="CE82" i="54"/>
  <c r="CB82" i="54"/>
  <c r="BS82" i="54"/>
  <c r="CC82" i="54" s="1"/>
  <c r="BH82" i="54"/>
  <c r="AY82" i="54"/>
  <c r="AN82" i="54"/>
  <c r="AE82" i="54"/>
  <c r="T82" i="54"/>
  <c r="U82" i="54" s="1"/>
  <c r="K82" i="54"/>
  <c r="CR80" i="54"/>
  <c r="CQ80" i="54"/>
  <c r="CP80" i="54"/>
  <c r="CO80" i="54"/>
  <c r="CM80" i="54"/>
  <c r="CL80" i="54"/>
  <c r="CK80" i="54"/>
  <c r="CJ80" i="54"/>
  <c r="CH80" i="54"/>
  <c r="CG80" i="54"/>
  <c r="CF80" i="54"/>
  <c r="CE80" i="54"/>
  <c r="CC80" i="54"/>
  <c r="CB80" i="54"/>
  <c r="BS80" i="54"/>
  <c r="BH80" i="54"/>
  <c r="BI80" i="54" s="1"/>
  <c r="AY80" i="54"/>
  <c r="AN80" i="54"/>
  <c r="AE80" i="54"/>
  <c r="T80" i="54"/>
  <c r="U80" i="54" s="1"/>
  <c r="K80" i="54"/>
  <c r="CI80" i="54" s="1"/>
  <c r="CR78" i="54"/>
  <c r="CQ78" i="54"/>
  <c r="CP78" i="54"/>
  <c r="CO78" i="54"/>
  <c r="CM78" i="54"/>
  <c r="CL78" i="54"/>
  <c r="CK78" i="54"/>
  <c r="CJ78" i="54"/>
  <c r="CH78" i="54"/>
  <c r="CG78" i="54"/>
  <c r="CF78" i="54"/>
  <c r="CE78" i="54"/>
  <c r="CB78" i="54"/>
  <c r="BS78" i="54"/>
  <c r="BH78" i="54"/>
  <c r="BI78" i="54" s="1"/>
  <c r="AY78" i="54"/>
  <c r="AN78" i="54"/>
  <c r="AE78" i="54"/>
  <c r="U78" i="54"/>
  <c r="T78" i="54"/>
  <c r="K78" i="54"/>
  <c r="CR77" i="54"/>
  <c r="CQ77" i="54"/>
  <c r="CP77" i="54"/>
  <c r="CO77" i="54"/>
  <c r="CM77" i="54"/>
  <c r="CL77" i="54"/>
  <c r="CK77" i="54"/>
  <c r="CJ77" i="54"/>
  <c r="CH77" i="54"/>
  <c r="CG77" i="54"/>
  <c r="CF77" i="54"/>
  <c r="CE77" i="54"/>
  <c r="CB77" i="54"/>
  <c r="BS77" i="54"/>
  <c r="BH77" i="54"/>
  <c r="AY77" i="54"/>
  <c r="AN77" i="54"/>
  <c r="AE77" i="54"/>
  <c r="T77" i="54"/>
  <c r="K77" i="54"/>
  <c r="CR76" i="54"/>
  <c r="CQ76" i="54"/>
  <c r="CP76" i="54"/>
  <c r="CO76" i="54"/>
  <c r="CM76" i="54"/>
  <c r="CL76" i="54"/>
  <c r="CK76" i="54"/>
  <c r="CJ76" i="54"/>
  <c r="CH76" i="54"/>
  <c r="CG76" i="54"/>
  <c r="CF76" i="54"/>
  <c r="CE76" i="54"/>
  <c r="CB76" i="54"/>
  <c r="BS76" i="54"/>
  <c r="BH76" i="54"/>
  <c r="AY76" i="54"/>
  <c r="AN76" i="54"/>
  <c r="AE76" i="54"/>
  <c r="T76" i="54"/>
  <c r="K76" i="54"/>
  <c r="CA70" i="54"/>
  <c r="BZ70" i="54"/>
  <c r="BY70" i="54"/>
  <c r="BX70" i="54"/>
  <c r="BW70" i="54"/>
  <c r="BV70" i="54"/>
  <c r="BU70" i="54"/>
  <c r="BT70" i="54"/>
  <c r="BR70" i="54"/>
  <c r="BQ70" i="54"/>
  <c r="BP70" i="54"/>
  <c r="BO70" i="54"/>
  <c r="BN70" i="54"/>
  <c r="BM70" i="54"/>
  <c r="BL70" i="54"/>
  <c r="BK70" i="54"/>
  <c r="BG70" i="54"/>
  <c r="BF70" i="54"/>
  <c r="BE70" i="54"/>
  <c r="BD70" i="54"/>
  <c r="BC70" i="54"/>
  <c r="BB70" i="54"/>
  <c r="BA70" i="54"/>
  <c r="AZ70" i="54"/>
  <c r="AX70" i="54"/>
  <c r="AW70" i="54"/>
  <c r="AV70" i="54"/>
  <c r="AU70" i="54"/>
  <c r="AT70" i="54"/>
  <c r="AS70" i="54"/>
  <c r="AR70" i="54"/>
  <c r="AQ70" i="54"/>
  <c r="AM70" i="54"/>
  <c r="AL70" i="54"/>
  <c r="AK70" i="54"/>
  <c r="AJ70" i="54"/>
  <c r="AI70" i="54"/>
  <c r="AH70" i="54"/>
  <c r="AG70" i="54"/>
  <c r="AF70" i="54"/>
  <c r="AD70" i="54"/>
  <c r="AC70" i="54"/>
  <c r="AB70" i="54"/>
  <c r="AA70" i="54"/>
  <c r="Z70" i="54"/>
  <c r="Y70" i="54"/>
  <c r="X70" i="54"/>
  <c r="W70" i="54"/>
  <c r="S70" i="54"/>
  <c r="R70" i="54"/>
  <c r="Q70" i="54"/>
  <c r="P70" i="54"/>
  <c r="O70" i="54"/>
  <c r="N70" i="54"/>
  <c r="M70" i="54"/>
  <c r="L70" i="54"/>
  <c r="J70" i="54"/>
  <c r="I70" i="54"/>
  <c r="H70" i="54"/>
  <c r="G70" i="54"/>
  <c r="F70" i="54"/>
  <c r="E70" i="54"/>
  <c r="D70" i="54"/>
  <c r="C70" i="54"/>
  <c r="BZ66" i="54"/>
  <c r="BX66" i="54"/>
  <c r="BV66" i="54"/>
  <c r="BT66" i="54"/>
  <c r="BR66" i="54"/>
  <c r="BQ66" i="54"/>
  <c r="BP66" i="54"/>
  <c r="BO66" i="54"/>
  <c r="BN66" i="54"/>
  <c r="BM66" i="54"/>
  <c r="BL66" i="54"/>
  <c r="BK66" i="54"/>
  <c r="AL66" i="54"/>
  <c r="AJ66" i="54"/>
  <c r="AH66" i="54"/>
  <c r="AF66" i="54"/>
  <c r="AD66" i="54"/>
  <c r="AC66" i="54"/>
  <c r="AB66" i="54"/>
  <c r="AA66" i="54"/>
  <c r="Z66" i="54"/>
  <c r="Y66" i="54"/>
  <c r="X66" i="54"/>
  <c r="W66" i="54"/>
  <c r="L66" i="54"/>
  <c r="J66" i="54"/>
  <c r="I66" i="54"/>
  <c r="H66" i="54"/>
  <c r="G66" i="54"/>
  <c r="F66" i="54"/>
  <c r="E66" i="54"/>
  <c r="D66" i="54"/>
  <c r="C66" i="54"/>
  <c r="CR64" i="54"/>
  <c r="CQ64" i="54"/>
  <c r="CP64" i="54"/>
  <c r="CO64" i="54"/>
  <c r="CM64" i="54"/>
  <c r="CL64" i="54"/>
  <c r="CK64" i="54"/>
  <c r="CJ64" i="54"/>
  <c r="CH64" i="54"/>
  <c r="CG64" i="54"/>
  <c r="CF64" i="54"/>
  <c r="CE64" i="54"/>
  <c r="CB64" i="54"/>
  <c r="BS64" i="54"/>
  <c r="BH64" i="54"/>
  <c r="AY64" i="54"/>
  <c r="AN64" i="54"/>
  <c r="AE64" i="54"/>
  <c r="T64" i="54"/>
  <c r="K64" i="54"/>
  <c r="CR63" i="54"/>
  <c r="CQ63" i="54"/>
  <c r="CP63" i="54"/>
  <c r="CO63" i="54"/>
  <c r="CM63" i="54"/>
  <c r="CL63" i="54"/>
  <c r="CK63" i="54"/>
  <c r="CJ63" i="54"/>
  <c r="CH63" i="54"/>
  <c r="CG63" i="54"/>
  <c r="CF63" i="54"/>
  <c r="CE63" i="54"/>
  <c r="CB63" i="54"/>
  <c r="BS63" i="54"/>
  <c r="BH63" i="54"/>
  <c r="AY63" i="54"/>
  <c r="AN63" i="54"/>
  <c r="AE63" i="54"/>
  <c r="T63" i="54"/>
  <c r="K63" i="54"/>
  <c r="CR62" i="54"/>
  <c r="CQ62" i="54"/>
  <c r="CP62" i="54"/>
  <c r="CO62" i="54"/>
  <c r="CM62" i="54"/>
  <c r="CL62" i="54"/>
  <c r="CK62" i="54"/>
  <c r="CJ62" i="54"/>
  <c r="CH62" i="54"/>
  <c r="CG62" i="54"/>
  <c r="CF62" i="54"/>
  <c r="CE62" i="54"/>
  <c r="CB62" i="54"/>
  <c r="BS62" i="54"/>
  <c r="BH62" i="54"/>
  <c r="AY62" i="54"/>
  <c r="AN62" i="54"/>
  <c r="AE62" i="54"/>
  <c r="T62" i="54"/>
  <c r="K62" i="54"/>
  <c r="CR61" i="54"/>
  <c r="CQ61" i="54"/>
  <c r="CP61" i="54"/>
  <c r="CO61" i="54"/>
  <c r="CM61" i="54"/>
  <c r="CL61" i="54"/>
  <c r="CK61" i="54"/>
  <c r="CJ61" i="54"/>
  <c r="CH61" i="54"/>
  <c r="CG61" i="54"/>
  <c r="CF61" i="54"/>
  <c r="CE61" i="54"/>
  <c r="CB61" i="54"/>
  <c r="BS61" i="54"/>
  <c r="BH61" i="54"/>
  <c r="AY61" i="54"/>
  <c r="AN61" i="54"/>
  <c r="AE61" i="54"/>
  <c r="T61" i="54"/>
  <c r="K61" i="54"/>
  <c r="CR60" i="54"/>
  <c r="CQ60" i="54"/>
  <c r="CP60" i="54"/>
  <c r="CO60" i="54"/>
  <c r="CM60" i="54"/>
  <c r="CL60" i="54"/>
  <c r="CK60" i="54"/>
  <c r="CJ60" i="54"/>
  <c r="CH60" i="54"/>
  <c r="CG60" i="54"/>
  <c r="CF60" i="54"/>
  <c r="CE60" i="54"/>
  <c r="CB60" i="54"/>
  <c r="BS60" i="54"/>
  <c r="BH60" i="54"/>
  <c r="AY60" i="54"/>
  <c r="AN60" i="54"/>
  <c r="AE60" i="54"/>
  <c r="T60" i="54"/>
  <c r="K60" i="54"/>
  <c r="CR59" i="54"/>
  <c r="CQ59" i="54"/>
  <c r="CP59" i="54"/>
  <c r="CO59" i="54"/>
  <c r="CM59" i="54"/>
  <c r="CL59" i="54"/>
  <c r="CK59" i="54"/>
  <c r="CJ59" i="54"/>
  <c r="CH59" i="54"/>
  <c r="CG59" i="54"/>
  <c r="CF59" i="54"/>
  <c r="CE59" i="54"/>
  <c r="CB59" i="54"/>
  <c r="BS59" i="54"/>
  <c r="BH59" i="54"/>
  <c r="AY59" i="54"/>
  <c r="AN59" i="54"/>
  <c r="AE59" i="54"/>
  <c r="T59" i="54"/>
  <c r="K59" i="54"/>
  <c r="CR58" i="54"/>
  <c r="CQ58" i="54"/>
  <c r="CP58" i="54"/>
  <c r="CO58" i="54"/>
  <c r="CM58" i="54"/>
  <c r="CL58" i="54"/>
  <c r="CK58" i="54"/>
  <c r="CJ58" i="54"/>
  <c r="CH58" i="54"/>
  <c r="CG58" i="54"/>
  <c r="CF58" i="54"/>
  <c r="CE58" i="54"/>
  <c r="CB58" i="54"/>
  <c r="BS58" i="54"/>
  <c r="BH58" i="54"/>
  <c r="AY58" i="54"/>
  <c r="AN58" i="54"/>
  <c r="AE58" i="54"/>
  <c r="T58" i="54"/>
  <c r="K58" i="54"/>
  <c r="CR57" i="54"/>
  <c r="CQ57" i="54"/>
  <c r="CP57" i="54"/>
  <c r="CO57" i="54"/>
  <c r="CM57" i="54"/>
  <c r="CL57" i="54"/>
  <c r="CK57" i="54"/>
  <c r="CJ57" i="54"/>
  <c r="CH57" i="54"/>
  <c r="CG57" i="54"/>
  <c r="CF57" i="54"/>
  <c r="CE57" i="54"/>
  <c r="CB57" i="54"/>
  <c r="BS57" i="54"/>
  <c r="BH57" i="54"/>
  <c r="AY57" i="54"/>
  <c r="AN57" i="54"/>
  <c r="AE57" i="54"/>
  <c r="T57" i="54"/>
  <c r="K57" i="54"/>
  <c r="CR56" i="54"/>
  <c r="CQ56" i="54"/>
  <c r="CP56" i="54"/>
  <c r="CO56" i="54"/>
  <c r="CM56" i="54"/>
  <c r="CL56" i="54"/>
  <c r="CK56" i="54"/>
  <c r="CJ56" i="54"/>
  <c r="CH56" i="54"/>
  <c r="CG56" i="54"/>
  <c r="CF56" i="54"/>
  <c r="CE56" i="54"/>
  <c r="CB56" i="54"/>
  <c r="BS56" i="54"/>
  <c r="BH56" i="54"/>
  <c r="AY56" i="54"/>
  <c r="AN56" i="54"/>
  <c r="AE56" i="54"/>
  <c r="T56" i="54"/>
  <c r="K56" i="54"/>
  <c r="CR55" i="54"/>
  <c r="CQ55" i="54"/>
  <c r="CP55" i="54"/>
  <c r="CO55" i="54"/>
  <c r="CM55" i="54"/>
  <c r="CL55" i="54"/>
  <c r="CK55" i="54"/>
  <c r="CJ55" i="54"/>
  <c r="CH55" i="54"/>
  <c r="CG55" i="54"/>
  <c r="CF55" i="54"/>
  <c r="CE55" i="54"/>
  <c r="CB55" i="54"/>
  <c r="BS55" i="54"/>
  <c r="BH55" i="54"/>
  <c r="AY55" i="54"/>
  <c r="AN55" i="54"/>
  <c r="AE55" i="54"/>
  <c r="T55" i="54"/>
  <c r="K55" i="54"/>
  <c r="CR54" i="54"/>
  <c r="CQ54" i="54"/>
  <c r="CP54" i="54"/>
  <c r="CO54" i="54"/>
  <c r="CM54" i="54"/>
  <c r="CL54" i="54"/>
  <c r="CK54" i="54"/>
  <c r="CJ54" i="54"/>
  <c r="CH54" i="54"/>
  <c r="CG54" i="54"/>
  <c r="CF54" i="54"/>
  <c r="CE54" i="54"/>
  <c r="CB54" i="54"/>
  <c r="BS54" i="54"/>
  <c r="BH54" i="54"/>
  <c r="AY54" i="54"/>
  <c r="AN54" i="54"/>
  <c r="AE54" i="54"/>
  <c r="T54" i="54"/>
  <c r="K54" i="54"/>
  <c r="CR53" i="54"/>
  <c r="CQ53" i="54"/>
  <c r="CP53" i="54"/>
  <c r="CO53" i="54"/>
  <c r="CM53" i="54"/>
  <c r="CL53" i="54"/>
  <c r="CK53" i="54"/>
  <c r="CJ53" i="54"/>
  <c r="CH53" i="54"/>
  <c r="CG53" i="54"/>
  <c r="CF53" i="54"/>
  <c r="CE53" i="54"/>
  <c r="CB53" i="54"/>
  <c r="BS53" i="54"/>
  <c r="BH53" i="54"/>
  <c r="AY53" i="54"/>
  <c r="AN53" i="54"/>
  <c r="AE53" i="54"/>
  <c r="T53" i="54"/>
  <c r="K53" i="54"/>
  <c r="CR52" i="54"/>
  <c r="CQ52" i="54"/>
  <c r="CP52" i="54"/>
  <c r="CO52" i="54"/>
  <c r="CM52" i="54"/>
  <c r="CL52" i="54"/>
  <c r="CK52" i="54"/>
  <c r="CJ52" i="54"/>
  <c r="CH52" i="54"/>
  <c r="CG52" i="54"/>
  <c r="CF52" i="54"/>
  <c r="CE52" i="54"/>
  <c r="CB52" i="54"/>
  <c r="BS52" i="54"/>
  <c r="BH52" i="54"/>
  <c r="AY52" i="54"/>
  <c r="AN52" i="54"/>
  <c r="AE52" i="54"/>
  <c r="T52" i="54"/>
  <c r="K52" i="54"/>
  <c r="CR51" i="54"/>
  <c r="CQ51" i="54"/>
  <c r="CP51" i="54"/>
  <c r="CO51" i="54"/>
  <c r="CM51" i="54"/>
  <c r="CL51" i="54"/>
  <c r="CK51" i="54"/>
  <c r="CJ51" i="54"/>
  <c r="CH51" i="54"/>
  <c r="CG51" i="54"/>
  <c r="CF51" i="54"/>
  <c r="CE51" i="54"/>
  <c r="CB51" i="54"/>
  <c r="BS51" i="54"/>
  <c r="BH51" i="54"/>
  <c r="AY51" i="54"/>
  <c r="AN51" i="54"/>
  <c r="AE51" i="54"/>
  <c r="T51" i="54"/>
  <c r="K51" i="54"/>
  <c r="CR50" i="54"/>
  <c r="CQ50" i="54"/>
  <c r="CP50" i="54"/>
  <c r="CO50" i="54"/>
  <c r="CM50" i="54"/>
  <c r="CL50" i="54"/>
  <c r="CK50" i="54"/>
  <c r="CJ50" i="54"/>
  <c r="CH50" i="54"/>
  <c r="CG50" i="54"/>
  <c r="CF50" i="54"/>
  <c r="CE50" i="54"/>
  <c r="CB50" i="54"/>
  <c r="BS50" i="54"/>
  <c r="BH50" i="54"/>
  <c r="AY50" i="54"/>
  <c r="AN50" i="54"/>
  <c r="AE50" i="54"/>
  <c r="T50" i="54"/>
  <c r="K50" i="54"/>
  <c r="CR49" i="54"/>
  <c r="CQ49" i="54"/>
  <c r="CP49" i="54"/>
  <c r="CO49" i="54"/>
  <c r="CM49" i="54"/>
  <c r="CL49" i="54"/>
  <c r="CK49" i="54"/>
  <c r="CJ49" i="54"/>
  <c r="CH49" i="54"/>
  <c r="CG49" i="54"/>
  <c r="CF49" i="54"/>
  <c r="CE49" i="54"/>
  <c r="CB49" i="54"/>
  <c r="BS49" i="54"/>
  <c r="BH49" i="54"/>
  <c r="AY49" i="54"/>
  <c r="AN49" i="54"/>
  <c r="AE49" i="54"/>
  <c r="T49" i="54"/>
  <c r="K49" i="54"/>
  <c r="CR48" i="54"/>
  <c r="CQ48" i="54"/>
  <c r="CP48" i="54"/>
  <c r="CO48" i="54"/>
  <c r="CM48" i="54"/>
  <c r="CL48" i="54"/>
  <c r="CK48" i="54"/>
  <c r="CJ48" i="54"/>
  <c r="CH48" i="54"/>
  <c r="CG48" i="54"/>
  <c r="CF48" i="54"/>
  <c r="CE48" i="54"/>
  <c r="CB48" i="54"/>
  <c r="BS48" i="54"/>
  <c r="BH48" i="54"/>
  <c r="AY48" i="54"/>
  <c r="AN48" i="54"/>
  <c r="AE48" i="54"/>
  <c r="T48" i="54"/>
  <c r="K48" i="54"/>
  <c r="CH47" i="54"/>
  <c r="CG47" i="54"/>
  <c r="CF47" i="54"/>
  <c r="CE47" i="54"/>
  <c r="BS47" i="54"/>
  <c r="AY47" i="54"/>
  <c r="AE47" i="54"/>
  <c r="K47" i="54"/>
  <c r="CP46" i="54"/>
  <c r="CO46" i="54"/>
  <c r="CK46" i="54"/>
  <c r="CJ46" i="54"/>
  <c r="CH46" i="54"/>
  <c r="CG46" i="54"/>
  <c r="CF46" i="54"/>
  <c r="CE46" i="54"/>
  <c r="BS46" i="54"/>
  <c r="BH46" i="54"/>
  <c r="AY46" i="54"/>
  <c r="AN46" i="54"/>
  <c r="AE46" i="54"/>
  <c r="T46" i="54"/>
  <c r="K46" i="54"/>
  <c r="BS45" i="54"/>
  <c r="AE45" i="54"/>
  <c r="K45" i="54"/>
  <c r="BS44" i="54"/>
  <c r="AE44" i="54"/>
  <c r="K44" i="54"/>
  <c r="CR43" i="54"/>
  <c r="CQ43" i="54"/>
  <c r="CP43" i="54"/>
  <c r="CO43" i="54"/>
  <c r="CM43" i="54"/>
  <c r="CL43" i="54"/>
  <c r="CK43" i="54"/>
  <c r="CJ43" i="54"/>
  <c r="CH43" i="54"/>
  <c r="CG43" i="54"/>
  <c r="CF43" i="54"/>
  <c r="CE43" i="54"/>
  <c r="CB43" i="54"/>
  <c r="BS43" i="54"/>
  <c r="BH43" i="54"/>
  <c r="AY43" i="54"/>
  <c r="AN43" i="54"/>
  <c r="AE43" i="54"/>
  <c r="T43" i="54"/>
  <c r="K43" i="54"/>
  <c r="CR42" i="54"/>
  <c r="CQ42" i="54"/>
  <c r="CP42" i="54"/>
  <c r="CO42" i="54"/>
  <c r="CM42" i="54"/>
  <c r="CL42" i="54"/>
  <c r="CK42" i="54"/>
  <c r="CJ42" i="54"/>
  <c r="CH42" i="54"/>
  <c r="CG42" i="54"/>
  <c r="CF42" i="54"/>
  <c r="CE42" i="54"/>
  <c r="CB42" i="54"/>
  <c r="BS42" i="54"/>
  <c r="BH42" i="54"/>
  <c r="AY42" i="54"/>
  <c r="AN42" i="54"/>
  <c r="AE42" i="54"/>
  <c r="T42" i="54"/>
  <c r="K42" i="54"/>
  <c r="CR41" i="54"/>
  <c r="CQ41" i="54"/>
  <c r="CP41" i="54"/>
  <c r="CO41" i="54"/>
  <c r="CM41" i="54"/>
  <c r="CL41" i="54"/>
  <c r="CK41" i="54"/>
  <c r="CJ41" i="54"/>
  <c r="CH41" i="54"/>
  <c r="CG41" i="54"/>
  <c r="CF41" i="54"/>
  <c r="CE41" i="54"/>
  <c r="CB41" i="54"/>
  <c r="BS41" i="54"/>
  <c r="BH41" i="54"/>
  <c r="AY41" i="54"/>
  <c r="AN41" i="54"/>
  <c r="AE41" i="54"/>
  <c r="T41" i="54"/>
  <c r="K41" i="54"/>
  <c r="CR40" i="54"/>
  <c r="CQ40" i="54"/>
  <c r="CP40" i="54"/>
  <c r="CO40" i="54"/>
  <c r="CM40" i="54"/>
  <c r="CL40" i="54"/>
  <c r="CK40" i="54"/>
  <c r="CJ40" i="54"/>
  <c r="CH40" i="54"/>
  <c r="CG40" i="54"/>
  <c r="CF40" i="54"/>
  <c r="CE40" i="54"/>
  <c r="CB40" i="54"/>
  <c r="BS40" i="54"/>
  <c r="BH40" i="54"/>
  <c r="AY40" i="54"/>
  <c r="AN40" i="54"/>
  <c r="AE40" i="54"/>
  <c r="T40" i="54"/>
  <c r="K40" i="54"/>
  <c r="CR39" i="54"/>
  <c r="CQ39" i="54"/>
  <c r="CP39" i="54"/>
  <c r="CO39" i="54"/>
  <c r="CM39" i="54"/>
  <c r="CL39" i="54"/>
  <c r="CK39" i="54"/>
  <c r="CJ39" i="54"/>
  <c r="CH39" i="54"/>
  <c r="CG39" i="54"/>
  <c r="CF39" i="54"/>
  <c r="CE39" i="54"/>
  <c r="CB39" i="54"/>
  <c r="BS39" i="54"/>
  <c r="BH39" i="54"/>
  <c r="AY39" i="54"/>
  <c r="AN39" i="54"/>
  <c r="AE39" i="54"/>
  <c r="T39" i="54"/>
  <c r="K39" i="54"/>
  <c r="CR38" i="54"/>
  <c r="CQ38" i="54"/>
  <c r="CP38" i="54"/>
  <c r="CO38" i="54"/>
  <c r="CM38" i="54"/>
  <c r="CL38" i="54"/>
  <c r="CK38" i="54"/>
  <c r="CJ38" i="54"/>
  <c r="CH38" i="54"/>
  <c r="CG38" i="54"/>
  <c r="CF38" i="54"/>
  <c r="CE38" i="54"/>
  <c r="CB38" i="54"/>
  <c r="BS38" i="54"/>
  <c r="BH38" i="54"/>
  <c r="AY38" i="54"/>
  <c r="AN38" i="54"/>
  <c r="AE38" i="54"/>
  <c r="T38" i="54"/>
  <c r="K38" i="54"/>
  <c r="CR37" i="54"/>
  <c r="CQ37" i="54"/>
  <c r="CP37" i="54"/>
  <c r="CO37" i="54"/>
  <c r="CM37" i="54"/>
  <c r="CL37" i="54"/>
  <c r="CK37" i="54"/>
  <c r="CJ37" i="54"/>
  <c r="CH37" i="54"/>
  <c r="CG37" i="54"/>
  <c r="CF37" i="54"/>
  <c r="CE37" i="54"/>
  <c r="CB37" i="54"/>
  <c r="BS37" i="54"/>
  <c r="BH37" i="54"/>
  <c r="AY37" i="54"/>
  <c r="AN37" i="54"/>
  <c r="AE37" i="54"/>
  <c r="T37" i="54"/>
  <c r="K37" i="54"/>
  <c r="CR36" i="54"/>
  <c r="CQ36" i="54"/>
  <c r="CP36" i="54"/>
  <c r="CO36" i="54"/>
  <c r="CM36" i="54"/>
  <c r="CL36" i="54"/>
  <c r="CK36" i="54"/>
  <c r="CJ36" i="54"/>
  <c r="CH36" i="54"/>
  <c r="CG36" i="54"/>
  <c r="CF36" i="54"/>
  <c r="CE36" i="54"/>
  <c r="CB36" i="54"/>
  <c r="BS36" i="54"/>
  <c r="BH36" i="54"/>
  <c r="AY36" i="54"/>
  <c r="AN36" i="54"/>
  <c r="AE36" i="54"/>
  <c r="T36" i="54"/>
  <c r="K36" i="54"/>
  <c r="CR35" i="54"/>
  <c r="CQ35" i="54"/>
  <c r="CP35" i="54"/>
  <c r="CO35" i="54"/>
  <c r="CM35" i="54"/>
  <c r="CL35" i="54"/>
  <c r="CK35" i="54"/>
  <c r="CJ35" i="54"/>
  <c r="CH35" i="54"/>
  <c r="CG35" i="54"/>
  <c r="CF35" i="54"/>
  <c r="CE35" i="54"/>
  <c r="CB35" i="54"/>
  <c r="BS35" i="54"/>
  <c r="BH35" i="54"/>
  <c r="AY35" i="54"/>
  <c r="AN35" i="54"/>
  <c r="AE35" i="54"/>
  <c r="T35" i="54"/>
  <c r="K35" i="54"/>
  <c r="CR28" i="54"/>
  <c r="CQ28" i="54"/>
  <c r="CP28" i="54"/>
  <c r="CO28" i="54"/>
  <c r="CM28" i="54"/>
  <c r="CL28" i="54"/>
  <c r="CK28" i="54"/>
  <c r="CJ28" i="54"/>
  <c r="CH28" i="54"/>
  <c r="CG28" i="54"/>
  <c r="CF28" i="54"/>
  <c r="CE28" i="54"/>
  <c r="CB28" i="54"/>
  <c r="CC28" i="54" s="1"/>
  <c r="BS28" i="54"/>
  <c r="BH28" i="54"/>
  <c r="AY28" i="54"/>
  <c r="BI28" i="54" s="1"/>
  <c r="AN28" i="54"/>
  <c r="AE28" i="54"/>
  <c r="T28" i="54"/>
  <c r="K28" i="54"/>
  <c r="CR27" i="54"/>
  <c r="CQ27" i="54"/>
  <c r="CP27" i="54"/>
  <c r="CO27" i="54"/>
  <c r="CM27" i="54"/>
  <c r="CL27" i="54"/>
  <c r="CK27" i="54"/>
  <c r="CJ27" i="54"/>
  <c r="CH27" i="54"/>
  <c r="CG27" i="54"/>
  <c r="CF27" i="54"/>
  <c r="CE27" i="54"/>
  <c r="CB27" i="54"/>
  <c r="BS27" i="54"/>
  <c r="BH27" i="54"/>
  <c r="AY27" i="54"/>
  <c r="AN27" i="54"/>
  <c r="AE27" i="54"/>
  <c r="T27" i="54"/>
  <c r="K27" i="54"/>
  <c r="CR26" i="54"/>
  <c r="CQ26" i="54"/>
  <c r="CP26" i="54"/>
  <c r="CO26" i="54"/>
  <c r="CM26" i="54"/>
  <c r="CL26" i="54"/>
  <c r="CK26" i="54"/>
  <c r="CJ26" i="54"/>
  <c r="CH26" i="54"/>
  <c r="CG26" i="54"/>
  <c r="CF26" i="54"/>
  <c r="CE26" i="54"/>
  <c r="CB26" i="54"/>
  <c r="BS26" i="54"/>
  <c r="BH26" i="54"/>
  <c r="AY26" i="54"/>
  <c r="AN26" i="54"/>
  <c r="AE26" i="54"/>
  <c r="T26" i="54"/>
  <c r="K26" i="54"/>
  <c r="CI26" i="54" s="1"/>
  <c r="CM25" i="54"/>
  <c r="CL25" i="54"/>
  <c r="CK25" i="54"/>
  <c r="CJ25" i="54"/>
  <c r="CB25" i="54"/>
  <c r="BH25" i="54"/>
  <c r="AY25" i="54"/>
  <c r="AN25" i="54"/>
  <c r="AE25" i="54"/>
  <c r="AO25" i="54" s="1"/>
  <c r="U25" i="54"/>
  <c r="T25" i="54"/>
  <c r="K25" i="54"/>
  <c r="CH22" i="54"/>
  <c r="CG22" i="54"/>
  <c r="CF22" i="54"/>
  <c r="CE22" i="54"/>
  <c r="BS22" i="54"/>
  <c r="AY22" i="54"/>
  <c r="AE22" i="54"/>
  <c r="K22" i="54"/>
  <c r="CR21" i="54"/>
  <c r="CQ21" i="54"/>
  <c r="CP21" i="54"/>
  <c r="CO21" i="54"/>
  <c r="CM21" i="54"/>
  <c r="CL21" i="54"/>
  <c r="CK21" i="54"/>
  <c r="CJ21" i="54"/>
  <c r="CH21" i="54"/>
  <c r="CG21" i="54"/>
  <c r="CF21" i="54"/>
  <c r="CE21" i="54"/>
  <c r="CB21" i="54"/>
  <c r="BS21" i="54"/>
  <c r="CC21" i="54" s="1"/>
  <c r="BH21" i="54"/>
  <c r="AY21" i="54"/>
  <c r="AN21" i="54"/>
  <c r="AE21" i="54"/>
  <c r="T21" i="54"/>
  <c r="K21" i="54"/>
  <c r="CA20" i="54"/>
  <c r="BZ20" i="54"/>
  <c r="BZ23" i="54" s="1"/>
  <c r="BY20" i="54"/>
  <c r="BX20" i="54"/>
  <c r="BX23" i="54" s="1"/>
  <c r="BW20" i="54"/>
  <c r="BV20" i="54"/>
  <c r="BV23" i="54" s="1"/>
  <c r="BU20" i="54"/>
  <c r="BT20" i="54"/>
  <c r="BT23" i="54" s="1"/>
  <c r="BR20" i="54"/>
  <c r="BR23" i="54" s="1"/>
  <c r="BQ20" i="54"/>
  <c r="BQ23" i="54" s="1"/>
  <c r="BP20" i="54"/>
  <c r="BP23" i="54" s="1"/>
  <c r="BO20" i="54"/>
  <c r="BO23" i="54" s="1"/>
  <c r="BN20" i="54"/>
  <c r="BN23" i="54" s="1"/>
  <c r="BM20" i="54"/>
  <c r="BM23" i="54" s="1"/>
  <c r="BL20" i="54"/>
  <c r="BL23" i="54" s="1"/>
  <c r="BK20" i="54"/>
  <c r="BG20" i="54"/>
  <c r="BF20" i="54"/>
  <c r="BF23" i="54" s="1"/>
  <c r="BE20" i="54"/>
  <c r="BD20" i="54"/>
  <c r="BD23" i="54" s="1"/>
  <c r="BC20" i="54"/>
  <c r="BB20" i="54"/>
  <c r="BB23" i="54" s="1"/>
  <c r="BA20" i="54"/>
  <c r="AZ20" i="54"/>
  <c r="AZ23" i="54" s="1"/>
  <c r="AX20" i="54"/>
  <c r="AX23" i="54" s="1"/>
  <c r="AW20" i="54"/>
  <c r="AW23" i="54" s="1"/>
  <c r="AV20" i="54"/>
  <c r="AV23" i="54" s="1"/>
  <c r="AU20" i="54"/>
  <c r="AU23" i="54" s="1"/>
  <c r="AT20" i="54"/>
  <c r="AT23" i="54" s="1"/>
  <c r="AS20" i="54"/>
  <c r="AS23" i="54" s="1"/>
  <c r="AR20" i="54"/>
  <c r="AR23" i="54" s="1"/>
  <c r="AQ20" i="54"/>
  <c r="AQ23" i="54" s="1"/>
  <c r="AM20" i="54"/>
  <c r="AL20" i="54"/>
  <c r="AL23" i="54" s="1"/>
  <c r="AK20" i="54"/>
  <c r="AJ20" i="54"/>
  <c r="AI20" i="54"/>
  <c r="AH20" i="54"/>
  <c r="AH23" i="54" s="1"/>
  <c r="AG20" i="54"/>
  <c r="AF20" i="54"/>
  <c r="AF23" i="54" s="1"/>
  <c r="AD20" i="54"/>
  <c r="AD23" i="54" s="1"/>
  <c r="AC20" i="54"/>
  <c r="AC23" i="54" s="1"/>
  <c r="AB20" i="54"/>
  <c r="AB23" i="54" s="1"/>
  <c r="AA20" i="54"/>
  <c r="AA23" i="54" s="1"/>
  <c r="Z20" i="54"/>
  <c r="Z23" i="54" s="1"/>
  <c r="Y20" i="54"/>
  <c r="Y23" i="54" s="1"/>
  <c r="X20" i="54"/>
  <c r="X23" i="54" s="1"/>
  <c r="W20" i="54"/>
  <c r="W23" i="54" s="1"/>
  <c r="S20" i="54"/>
  <c r="R20" i="54"/>
  <c r="Q20" i="54"/>
  <c r="P20" i="54"/>
  <c r="P23" i="54" s="1"/>
  <c r="O20" i="54"/>
  <c r="N20" i="54"/>
  <c r="N23" i="54" s="1"/>
  <c r="M20" i="54"/>
  <c r="L20" i="54"/>
  <c r="J20" i="54"/>
  <c r="J23" i="54" s="1"/>
  <c r="I20" i="54"/>
  <c r="I23" i="54" s="1"/>
  <c r="H20" i="54"/>
  <c r="H23" i="54" s="1"/>
  <c r="G20" i="54"/>
  <c r="F20" i="54"/>
  <c r="F23" i="54" s="1"/>
  <c r="E20" i="54"/>
  <c r="D20" i="54"/>
  <c r="D23" i="54" s="1"/>
  <c r="C20" i="54"/>
  <c r="CR19" i="54"/>
  <c r="CQ19" i="54"/>
  <c r="CP19" i="54"/>
  <c r="CO19" i="54"/>
  <c r="CM19" i="54"/>
  <c r="CL19" i="54"/>
  <c r="CK19" i="54"/>
  <c r="CJ19" i="54"/>
  <c r="CH19" i="54"/>
  <c r="CG19" i="54"/>
  <c r="CF19" i="54"/>
  <c r="CE19" i="54"/>
  <c r="CB19" i="54"/>
  <c r="BS19" i="54"/>
  <c r="BH19" i="54"/>
  <c r="AY19" i="54"/>
  <c r="AN19" i="54"/>
  <c r="AE19" i="54"/>
  <c r="T19" i="54"/>
  <c r="U19" i="54" s="1"/>
  <c r="K19" i="54"/>
  <c r="CR18" i="54"/>
  <c r="CQ18" i="54"/>
  <c r="CP18" i="54"/>
  <c r="CO18" i="54"/>
  <c r="CM18" i="54"/>
  <c r="CL18" i="54"/>
  <c r="CK18" i="54"/>
  <c r="CJ18" i="54"/>
  <c r="CH18" i="54"/>
  <c r="CG18" i="54"/>
  <c r="CF18" i="54"/>
  <c r="CE18" i="54"/>
  <c r="CB18" i="54"/>
  <c r="BS18" i="54"/>
  <c r="BH18" i="54"/>
  <c r="AY18" i="54"/>
  <c r="AN18" i="54"/>
  <c r="AE18" i="54"/>
  <c r="T18" i="54"/>
  <c r="K18" i="54"/>
  <c r="CR17" i="54"/>
  <c r="CQ17" i="54"/>
  <c r="CP17" i="54"/>
  <c r="CO17" i="54"/>
  <c r="CM17" i="54"/>
  <c r="CL17" i="54"/>
  <c r="CK17" i="54"/>
  <c r="CJ17" i="54"/>
  <c r="CH17" i="54"/>
  <c r="CG17" i="54"/>
  <c r="CF17" i="54"/>
  <c r="CE17" i="54"/>
  <c r="CB17" i="54"/>
  <c r="BS17" i="54"/>
  <c r="BH17" i="54"/>
  <c r="AY17" i="54"/>
  <c r="AN17" i="54"/>
  <c r="AE17" i="54"/>
  <c r="T17" i="54"/>
  <c r="K17" i="54"/>
  <c r="CR16" i="54"/>
  <c r="CQ16" i="54"/>
  <c r="CP16" i="54"/>
  <c r="CO16" i="54"/>
  <c r="CM16" i="54"/>
  <c r="CL16" i="54"/>
  <c r="CK16" i="54"/>
  <c r="CJ16" i="54"/>
  <c r="CH16" i="54"/>
  <c r="CG16" i="54"/>
  <c r="CF16" i="54"/>
  <c r="CE16" i="54"/>
  <c r="CB16" i="54"/>
  <c r="BS16" i="54"/>
  <c r="BH16" i="54"/>
  <c r="AY16" i="54"/>
  <c r="AN16" i="54"/>
  <c r="AE16" i="54"/>
  <c r="T16" i="54"/>
  <c r="K16" i="54"/>
  <c r="CA14" i="54"/>
  <c r="BZ14" i="54"/>
  <c r="BY14" i="54"/>
  <c r="BX14" i="54"/>
  <c r="BW14" i="54"/>
  <c r="BV14" i="54"/>
  <c r="BU14" i="54"/>
  <c r="BT14" i="54"/>
  <c r="BR14" i="54"/>
  <c r="BQ14" i="54"/>
  <c r="BP14" i="54"/>
  <c r="BO14" i="54"/>
  <c r="BN14" i="54"/>
  <c r="BM14" i="54"/>
  <c r="BL14" i="54"/>
  <c r="BK14" i="54"/>
  <c r="BG14" i="54"/>
  <c r="BF14" i="54"/>
  <c r="BE14" i="54"/>
  <c r="BC14" i="54"/>
  <c r="BA14" i="54"/>
  <c r="AZ14" i="54"/>
  <c r="AX14" i="54"/>
  <c r="AV14" i="54"/>
  <c r="AT14" i="54"/>
  <c r="AS14" i="54"/>
  <c r="AR14" i="54"/>
  <c r="AM14" i="54"/>
  <c r="AL14" i="54"/>
  <c r="AK14" i="54"/>
  <c r="AJ14" i="54"/>
  <c r="AI14" i="54"/>
  <c r="AH14" i="54"/>
  <c r="AG14" i="54"/>
  <c r="AF14" i="54"/>
  <c r="AD14" i="54"/>
  <c r="AC14" i="54"/>
  <c r="AB14" i="54"/>
  <c r="AA14" i="54"/>
  <c r="Z14" i="54"/>
  <c r="Y14" i="54"/>
  <c r="X14" i="54"/>
  <c r="W14" i="54"/>
  <c r="S14" i="54"/>
  <c r="Q14" i="54"/>
  <c r="O14" i="54"/>
  <c r="M14" i="54"/>
  <c r="L14" i="54"/>
  <c r="J14" i="54"/>
  <c r="H14" i="54"/>
  <c r="F14" i="54"/>
  <c r="E14" i="54"/>
  <c r="D14" i="54"/>
  <c r="CR85" i="53"/>
  <c r="CQ85" i="53"/>
  <c r="CP85" i="53"/>
  <c r="CO85" i="53"/>
  <c r="CM85" i="53"/>
  <c r="CL85" i="53"/>
  <c r="CK85" i="53"/>
  <c r="CJ85" i="53"/>
  <c r="CH85" i="53"/>
  <c r="CG85" i="53"/>
  <c r="CF85" i="53"/>
  <c r="CE85" i="53"/>
  <c r="CB85" i="53"/>
  <c r="CC85" i="53" s="1"/>
  <c r="BS85" i="53"/>
  <c r="BH85" i="53"/>
  <c r="BI85" i="53" s="1"/>
  <c r="AY85" i="53"/>
  <c r="AN85" i="53"/>
  <c r="AE85" i="53"/>
  <c r="T85" i="53"/>
  <c r="K85" i="53"/>
  <c r="CR84" i="53"/>
  <c r="CQ84" i="53"/>
  <c r="CP84" i="53"/>
  <c r="CO84" i="53"/>
  <c r="CM84" i="53"/>
  <c r="CL84" i="53"/>
  <c r="CK84" i="53"/>
  <c r="CJ84" i="53"/>
  <c r="CH84" i="53"/>
  <c r="CG84" i="53"/>
  <c r="CF84" i="53"/>
  <c r="CE84" i="53"/>
  <c r="CB84" i="53"/>
  <c r="CC84" i="53" s="1"/>
  <c r="BS84" i="53"/>
  <c r="BH84" i="53"/>
  <c r="AY84" i="53"/>
  <c r="AN84" i="53"/>
  <c r="AE84" i="53"/>
  <c r="U84" i="53"/>
  <c r="T84" i="53"/>
  <c r="K84" i="53"/>
  <c r="CR83" i="53"/>
  <c r="CQ83" i="53"/>
  <c r="CP83" i="53"/>
  <c r="CO83" i="53"/>
  <c r="CM83" i="53"/>
  <c r="CL83" i="53"/>
  <c r="CK83" i="53"/>
  <c r="CJ83" i="53"/>
  <c r="CH83" i="53"/>
  <c r="CG83" i="53"/>
  <c r="CF83" i="53"/>
  <c r="CE83" i="53"/>
  <c r="CB83" i="53"/>
  <c r="BS83" i="53"/>
  <c r="BH83" i="53"/>
  <c r="AY83" i="53"/>
  <c r="BI83" i="53" s="1"/>
  <c r="AO83" i="53"/>
  <c r="AN83" i="53"/>
  <c r="AE83" i="53"/>
  <c r="T83" i="53"/>
  <c r="K83" i="53"/>
  <c r="CR82" i="53"/>
  <c r="CQ82" i="53"/>
  <c r="CP82" i="53"/>
  <c r="CO82" i="53"/>
  <c r="CM82" i="53"/>
  <c r="CL82" i="53"/>
  <c r="CK82" i="53"/>
  <c r="CJ82" i="53"/>
  <c r="CH82" i="53"/>
  <c r="CG82" i="53"/>
  <c r="CF82" i="53"/>
  <c r="CE82" i="53"/>
  <c r="CB82" i="53"/>
  <c r="CC82" i="53" s="1"/>
  <c r="BS82" i="53"/>
  <c r="BH82" i="53"/>
  <c r="BI82" i="53" s="1"/>
  <c r="AY82" i="53"/>
  <c r="AN82" i="53"/>
  <c r="AE82" i="53"/>
  <c r="T82" i="53"/>
  <c r="K82" i="53"/>
  <c r="CI82" i="53" s="1"/>
  <c r="CR80" i="53"/>
  <c r="CQ80" i="53"/>
  <c r="CP80" i="53"/>
  <c r="CO80" i="53"/>
  <c r="CM80" i="53"/>
  <c r="CL80" i="53"/>
  <c r="CK80" i="53"/>
  <c r="CJ80" i="53"/>
  <c r="CH80" i="53"/>
  <c r="CG80" i="53"/>
  <c r="CF80" i="53"/>
  <c r="CE80" i="53"/>
  <c r="CB80" i="53"/>
  <c r="BS80" i="53"/>
  <c r="BH80" i="53"/>
  <c r="BI80" i="53" s="1"/>
  <c r="AY80" i="53"/>
  <c r="AN80" i="53"/>
  <c r="AE80" i="53"/>
  <c r="T80" i="53"/>
  <c r="K80" i="53"/>
  <c r="CR78" i="53"/>
  <c r="CQ78" i="53"/>
  <c r="CP78" i="53"/>
  <c r="CO78" i="53"/>
  <c r="CM78" i="53"/>
  <c r="CL78" i="53"/>
  <c r="CK78" i="53"/>
  <c r="CJ78" i="53"/>
  <c r="CH78" i="53"/>
  <c r="CG78" i="53"/>
  <c r="CF78" i="53"/>
  <c r="CE78" i="53"/>
  <c r="CB78" i="53"/>
  <c r="BS78" i="53"/>
  <c r="BH78" i="53"/>
  <c r="BI78" i="53" s="1"/>
  <c r="AY78" i="53"/>
  <c r="AN78" i="53"/>
  <c r="AO78" i="53" s="1"/>
  <c r="AE78" i="53"/>
  <c r="T78" i="53"/>
  <c r="K78" i="53"/>
  <c r="CR77" i="53"/>
  <c r="CQ77" i="53"/>
  <c r="CP77" i="53"/>
  <c r="CO77" i="53"/>
  <c r="CM77" i="53"/>
  <c r="CL77" i="53"/>
  <c r="CK77" i="53"/>
  <c r="CJ77" i="53"/>
  <c r="CH77" i="53"/>
  <c r="CG77" i="53"/>
  <c r="CF77" i="53"/>
  <c r="CE77" i="53"/>
  <c r="CB77" i="53"/>
  <c r="BS77" i="53"/>
  <c r="CC77" i="53" s="1"/>
  <c r="BH77" i="53"/>
  <c r="BI77" i="53" s="1"/>
  <c r="AY77" i="53"/>
  <c r="AN77" i="53"/>
  <c r="AE77" i="53"/>
  <c r="T77" i="53"/>
  <c r="U77" i="53" s="1"/>
  <c r="K77" i="53"/>
  <c r="CR76" i="53"/>
  <c r="CQ76" i="53"/>
  <c r="CP76" i="53"/>
  <c r="CO76" i="53"/>
  <c r="CM76" i="53"/>
  <c r="CL76" i="53"/>
  <c r="CK76" i="53"/>
  <c r="CJ76" i="53"/>
  <c r="CH76" i="53"/>
  <c r="CG76" i="53"/>
  <c r="CF76" i="53"/>
  <c r="CE76" i="53"/>
  <c r="CB76" i="53"/>
  <c r="BS76" i="53"/>
  <c r="BH76" i="53"/>
  <c r="AY76" i="53"/>
  <c r="AN76" i="53"/>
  <c r="AE76" i="53"/>
  <c r="T76" i="53"/>
  <c r="CN76" i="53" s="1"/>
  <c r="K76" i="53"/>
  <c r="CA70" i="53"/>
  <c r="BZ70" i="53"/>
  <c r="BY70" i="53"/>
  <c r="BX70" i="53"/>
  <c r="BW70" i="53"/>
  <c r="BV70" i="53"/>
  <c r="BU70" i="53"/>
  <c r="BT70" i="53"/>
  <c r="BR70" i="53"/>
  <c r="BQ70" i="53"/>
  <c r="BP70" i="53"/>
  <c r="BO70" i="53"/>
  <c r="BN70" i="53"/>
  <c r="BM70" i="53"/>
  <c r="BL70" i="53"/>
  <c r="BK70" i="53"/>
  <c r="BG70" i="53"/>
  <c r="BF70" i="53"/>
  <c r="BE70" i="53"/>
  <c r="BD70" i="53"/>
  <c r="BC70" i="53"/>
  <c r="BB70" i="53"/>
  <c r="BA70" i="53"/>
  <c r="AZ70" i="53"/>
  <c r="AX70" i="53"/>
  <c r="AW70" i="53"/>
  <c r="AV70" i="53"/>
  <c r="AU70" i="53"/>
  <c r="AT70" i="53"/>
  <c r="AS70" i="53"/>
  <c r="AR70" i="53"/>
  <c r="AQ70" i="53"/>
  <c r="AM70" i="53"/>
  <c r="AL70" i="53"/>
  <c r="AK70" i="53"/>
  <c r="AJ70" i="53"/>
  <c r="AI70" i="53"/>
  <c r="AH70" i="53"/>
  <c r="AG70" i="53"/>
  <c r="AF70" i="53"/>
  <c r="AD70" i="53"/>
  <c r="AC70" i="53"/>
  <c r="AB70" i="53"/>
  <c r="AA70" i="53"/>
  <c r="Z70" i="53"/>
  <c r="Y70" i="53"/>
  <c r="X70" i="53"/>
  <c r="W70" i="53"/>
  <c r="S70" i="53"/>
  <c r="R70" i="53"/>
  <c r="Q70" i="53"/>
  <c r="P70" i="53"/>
  <c r="O70" i="53"/>
  <c r="N70" i="53"/>
  <c r="M70" i="53"/>
  <c r="L70" i="53"/>
  <c r="J70" i="53"/>
  <c r="I70" i="53"/>
  <c r="H70" i="53"/>
  <c r="G70" i="53"/>
  <c r="F70" i="53"/>
  <c r="E70" i="53"/>
  <c r="D70" i="53"/>
  <c r="C70" i="53"/>
  <c r="AL66" i="53"/>
  <c r="AJ66" i="53"/>
  <c r="AH66" i="53"/>
  <c r="AF66" i="53"/>
  <c r="AD66" i="53"/>
  <c r="AC66" i="53"/>
  <c r="AB66" i="53"/>
  <c r="AA66" i="53"/>
  <c r="Z66" i="53"/>
  <c r="Y66" i="53"/>
  <c r="X66" i="53"/>
  <c r="W66" i="53"/>
  <c r="L66" i="53"/>
  <c r="J66" i="53"/>
  <c r="I66" i="53"/>
  <c r="H66" i="53"/>
  <c r="G66" i="53"/>
  <c r="F66" i="53"/>
  <c r="E66" i="53"/>
  <c r="D66" i="53"/>
  <c r="C66" i="53"/>
  <c r="CR64" i="53"/>
  <c r="CQ64" i="53"/>
  <c r="CP64" i="53"/>
  <c r="CO64" i="53"/>
  <c r="CM64" i="53"/>
  <c r="CL64" i="53"/>
  <c r="CK64" i="53"/>
  <c r="CJ64" i="53"/>
  <c r="CH64" i="53"/>
  <c r="CG64" i="53"/>
  <c r="CF64" i="53"/>
  <c r="CE64" i="53"/>
  <c r="CB64" i="53"/>
  <c r="BS64" i="53"/>
  <c r="BH64" i="53"/>
  <c r="BI64" i="53" s="1"/>
  <c r="AY64" i="53"/>
  <c r="AN64" i="53"/>
  <c r="AE64" i="53"/>
  <c r="T64" i="53"/>
  <c r="K64" i="53"/>
  <c r="CR63" i="53"/>
  <c r="CQ63" i="53"/>
  <c r="CP63" i="53"/>
  <c r="CO63" i="53"/>
  <c r="CM63" i="53"/>
  <c r="CL63" i="53"/>
  <c r="CK63" i="53"/>
  <c r="CJ63" i="53"/>
  <c r="CH63" i="53"/>
  <c r="CG63" i="53"/>
  <c r="CF63" i="53"/>
  <c r="CE63" i="53"/>
  <c r="CB63" i="53"/>
  <c r="BS63" i="53"/>
  <c r="BH63" i="53"/>
  <c r="AY63" i="53"/>
  <c r="AN63" i="53"/>
  <c r="AE63" i="53"/>
  <c r="T63" i="53"/>
  <c r="K63" i="53"/>
  <c r="CR62" i="53"/>
  <c r="CQ62" i="53"/>
  <c r="CP62" i="53"/>
  <c r="CO62" i="53"/>
  <c r="CM62" i="53"/>
  <c r="CL62" i="53"/>
  <c r="CK62" i="53"/>
  <c r="CJ62" i="53"/>
  <c r="CH62" i="53"/>
  <c r="CG62" i="53"/>
  <c r="CF62" i="53"/>
  <c r="CE62" i="53"/>
  <c r="CB62" i="53"/>
  <c r="BS62" i="53"/>
  <c r="BH62" i="53"/>
  <c r="AY62" i="53"/>
  <c r="AN62" i="53"/>
  <c r="AE62" i="53"/>
  <c r="T62" i="53"/>
  <c r="K62" i="53"/>
  <c r="CR61" i="53"/>
  <c r="CQ61" i="53"/>
  <c r="CP61" i="53"/>
  <c r="CO61" i="53"/>
  <c r="CM61" i="53"/>
  <c r="CL61" i="53"/>
  <c r="CK61" i="53"/>
  <c r="CJ61" i="53"/>
  <c r="CH61" i="53"/>
  <c r="CG61" i="53"/>
  <c r="CF61" i="53"/>
  <c r="CE61" i="53"/>
  <c r="CB61" i="53"/>
  <c r="BS61" i="53"/>
  <c r="BH61" i="53"/>
  <c r="AY61" i="53"/>
  <c r="AN61" i="53"/>
  <c r="AE61" i="53"/>
  <c r="T61" i="53"/>
  <c r="K61" i="53"/>
  <c r="CR60" i="53"/>
  <c r="CQ60" i="53"/>
  <c r="CP60" i="53"/>
  <c r="CO60" i="53"/>
  <c r="CM60" i="53"/>
  <c r="CL60" i="53"/>
  <c r="CK60" i="53"/>
  <c r="CJ60" i="53"/>
  <c r="CH60" i="53"/>
  <c r="CG60" i="53"/>
  <c r="CF60" i="53"/>
  <c r="CE60" i="53"/>
  <c r="CB60" i="53"/>
  <c r="BS60" i="53"/>
  <c r="BH60" i="53"/>
  <c r="AY60" i="53"/>
  <c r="AN60" i="53"/>
  <c r="AE60" i="53"/>
  <c r="T60" i="53"/>
  <c r="K60" i="53"/>
  <c r="CR59" i="53"/>
  <c r="CQ59" i="53"/>
  <c r="CP59" i="53"/>
  <c r="CO59" i="53"/>
  <c r="CM59" i="53"/>
  <c r="CL59" i="53"/>
  <c r="CK59" i="53"/>
  <c r="CJ59" i="53"/>
  <c r="CH59" i="53"/>
  <c r="CG59" i="53"/>
  <c r="CF59" i="53"/>
  <c r="CE59" i="53"/>
  <c r="CB59" i="53"/>
  <c r="BS59" i="53"/>
  <c r="BH59" i="53"/>
  <c r="AY59" i="53"/>
  <c r="AN59" i="53"/>
  <c r="AE59" i="53"/>
  <c r="T59" i="53"/>
  <c r="K59" i="53"/>
  <c r="CR58" i="53"/>
  <c r="CQ58" i="53"/>
  <c r="CP58" i="53"/>
  <c r="CO58" i="53"/>
  <c r="CM58" i="53"/>
  <c r="CL58" i="53"/>
  <c r="CK58" i="53"/>
  <c r="CJ58" i="53"/>
  <c r="CH58" i="53"/>
  <c r="CG58" i="53"/>
  <c r="CF58" i="53"/>
  <c r="CE58" i="53"/>
  <c r="CB58" i="53"/>
  <c r="BS58" i="53"/>
  <c r="BH58" i="53"/>
  <c r="AY58" i="53"/>
  <c r="AN58" i="53"/>
  <c r="AE58" i="53"/>
  <c r="T58" i="53"/>
  <c r="K58" i="53"/>
  <c r="CR57" i="53"/>
  <c r="CQ57" i="53"/>
  <c r="CP57" i="53"/>
  <c r="CO57" i="53"/>
  <c r="CM57" i="53"/>
  <c r="CL57" i="53"/>
  <c r="CK57" i="53"/>
  <c r="CJ57" i="53"/>
  <c r="CH57" i="53"/>
  <c r="CG57" i="53"/>
  <c r="CF57" i="53"/>
  <c r="CE57" i="53"/>
  <c r="CB57" i="53"/>
  <c r="BS57" i="53"/>
  <c r="BH57" i="53"/>
  <c r="AY57" i="53"/>
  <c r="AN57" i="53"/>
  <c r="AE57" i="53"/>
  <c r="T57" i="53"/>
  <c r="K57" i="53"/>
  <c r="CR56" i="53"/>
  <c r="CQ56" i="53"/>
  <c r="CP56" i="53"/>
  <c r="CO56" i="53"/>
  <c r="CM56" i="53"/>
  <c r="CL56" i="53"/>
  <c r="CK56" i="53"/>
  <c r="CJ56" i="53"/>
  <c r="CH56" i="53"/>
  <c r="CG56" i="53"/>
  <c r="CF56" i="53"/>
  <c r="CE56" i="53"/>
  <c r="CB56" i="53"/>
  <c r="BS56" i="53"/>
  <c r="BH56" i="53"/>
  <c r="AY56" i="53"/>
  <c r="AN56" i="53"/>
  <c r="AE56" i="53"/>
  <c r="T56" i="53"/>
  <c r="K56" i="53"/>
  <c r="CR55" i="53"/>
  <c r="CQ55" i="53"/>
  <c r="CP55" i="53"/>
  <c r="CO55" i="53"/>
  <c r="CM55" i="53"/>
  <c r="CL55" i="53"/>
  <c r="CK55" i="53"/>
  <c r="CJ55" i="53"/>
  <c r="CH55" i="53"/>
  <c r="CG55" i="53"/>
  <c r="CF55" i="53"/>
  <c r="CE55" i="53"/>
  <c r="CB55" i="53"/>
  <c r="BS55" i="53"/>
  <c r="BH55" i="53"/>
  <c r="AY55" i="53"/>
  <c r="AN55" i="53"/>
  <c r="AE55" i="53"/>
  <c r="T55" i="53"/>
  <c r="K55" i="53"/>
  <c r="CR54" i="53"/>
  <c r="CQ54" i="53"/>
  <c r="CP54" i="53"/>
  <c r="CO54" i="53"/>
  <c r="CM54" i="53"/>
  <c r="CL54" i="53"/>
  <c r="CK54" i="53"/>
  <c r="CJ54" i="53"/>
  <c r="CH54" i="53"/>
  <c r="CG54" i="53"/>
  <c r="CF54" i="53"/>
  <c r="CE54" i="53"/>
  <c r="CB54" i="53"/>
  <c r="BS54" i="53"/>
  <c r="BH54" i="53"/>
  <c r="AY54" i="53"/>
  <c r="AN54" i="53"/>
  <c r="AE54" i="53"/>
  <c r="T54" i="53"/>
  <c r="K54" i="53"/>
  <c r="CR53" i="53"/>
  <c r="CQ53" i="53"/>
  <c r="CP53" i="53"/>
  <c r="CO53" i="53"/>
  <c r="CM53" i="53"/>
  <c r="CL53" i="53"/>
  <c r="CK53" i="53"/>
  <c r="CJ53" i="53"/>
  <c r="CH53" i="53"/>
  <c r="CG53" i="53"/>
  <c r="CF53" i="53"/>
  <c r="CE53" i="53"/>
  <c r="CB53" i="53"/>
  <c r="BS53" i="53"/>
  <c r="BH53" i="53"/>
  <c r="AY53" i="53"/>
  <c r="AN53" i="53"/>
  <c r="AE53" i="53"/>
  <c r="T53" i="53"/>
  <c r="K53" i="53"/>
  <c r="CR52" i="53"/>
  <c r="CQ52" i="53"/>
  <c r="CP52" i="53"/>
  <c r="CO52" i="53"/>
  <c r="CM52" i="53"/>
  <c r="CL52" i="53"/>
  <c r="CK52" i="53"/>
  <c r="CJ52" i="53"/>
  <c r="CH52" i="53"/>
  <c r="CG52" i="53"/>
  <c r="CF52" i="53"/>
  <c r="CE52" i="53"/>
  <c r="CB52" i="53"/>
  <c r="BS52" i="53"/>
  <c r="BH52" i="53"/>
  <c r="AY52" i="53"/>
  <c r="AN52" i="53"/>
  <c r="AE52" i="53"/>
  <c r="T52" i="53"/>
  <c r="K52" i="53"/>
  <c r="CR51" i="53"/>
  <c r="CQ51" i="53"/>
  <c r="CP51" i="53"/>
  <c r="CO51" i="53"/>
  <c r="CM51" i="53"/>
  <c r="CL51" i="53"/>
  <c r="CK51" i="53"/>
  <c r="CJ51" i="53"/>
  <c r="CH51" i="53"/>
  <c r="CG51" i="53"/>
  <c r="CF51" i="53"/>
  <c r="CE51" i="53"/>
  <c r="CB51" i="53"/>
  <c r="BS51" i="53"/>
  <c r="BH51" i="53"/>
  <c r="AY51" i="53"/>
  <c r="AN51" i="53"/>
  <c r="AE51" i="53"/>
  <c r="T51" i="53"/>
  <c r="K51" i="53"/>
  <c r="CR50" i="53"/>
  <c r="CQ50" i="53"/>
  <c r="CP50" i="53"/>
  <c r="CO50" i="53"/>
  <c r="CM50" i="53"/>
  <c r="CL50" i="53"/>
  <c r="CK50" i="53"/>
  <c r="CJ50" i="53"/>
  <c r="CH50" i="53"/>
  <c r="CG50" i="53"/>
  <c r="CF50" i="53"/>
  <c r="CE50" i="53"/>
  <c r="CB50" i="53"/>
  <c r="BS50" i="53"/>
  <c r="BH50" i="53"/>
  <c r="AY50" i="53"/>
  <c r="AN50" i="53"/>
  <c r="AE50" i="53"/>
  <c r="T50" i="53"/>
  <c r="K50" i="53"/>
  <c r="CR49" i="53"/>
  <c r="CQ49" i="53"/>
  <c r="CP49" i="53"/>
  <c r="CO49" i="53"/>
  <c r="CM49" i="53"/>
  <c r="CL49" i="53"/>
  <c r="CK49" i="53"/>
  <c r="CJ49" i="53"/>
  <c r="CH49" i="53"/>
  <c r="CG49" i="53"/>
  <c r="CF49" i="53"/>
  <c r="CE49" i="53"/>
  <c r="CB49" i="53"/>
  <c r="BS49" i="53"/>
  <c r="BH49" i="53"/>
  <c r="AY49" i="53"/>
  <c r="AN49" i="53"/>
  <c r="AE49" i="53"/>
  <c r="T49" i="53"/>
  <c r="K49" i="53"/>
  <c r="CR48" i="53"/>
  <c r="CQ48" i="53"/>
  <c r="CP48" i="53"/>
  <c r="CO48" i="53"/>
  <c r="CM48" i="53"/>
  <c r="CL48" i="53"/>
  <c r="CK48" i="53"/>
  <c r="CJ48" i="53"/>
  <c r="CH48" i="53"/>
  <c r="CG48" i="53"/>
  <c r="CF48" i="53"/>
  <c r="CE48" i="53"/>
  <c r="CB48" i="53"/>
  <c r="BS48" i="53"/>
  <c r="BH48" i="53"/>
  <c r="AY48" i="53"/>
  <c r="AN48" i="53"/>
  <c r="AE48" i="53"/>
  <c r="T48" i="53"/>
  <c r="K48" i="53"/>
  <c r="CH47" i="53"/>
  <c r="CG47" i="53"/>
  <c r="CF47" i="53"/>
  <c r="CE47" i="53"/>
  <c r="BS47" i="53"/>
  <c r="AY47" i="53"/>
  <c r="AE47" i="53"/>
  <c r="K47" i="53"/>
  <c r="CR46" i="53"/>
  <c r="CQ46" i="53"/>
  <c r="CP46" i="53"/>
  <c r="CO46" i="53"/>
  <c r="CM46" i="53"/>
  <c r="CL46" i="53"/>
  <c r="CK46" i="53"/>
  <c r="CJ46" i="53"/>
  <c r="CH46" i="53"/>
  <c r="CG46" i="53"/>
  <c r="CF46" i="53"/>
  <c r="CE46" i="53"/>
  <c r="CB46" i="53"/>
  <c r="BS46" i="53"/>
  <c r="BH46" i="53"/>
  <c r="AY46" i="53"/>
  <c r="AN46" i="53"/>
  <c r="AE46" i="53"/>
  <c r="T46" i="53"/>
  <c r="K46" i="53"/>
  <c r="AE45" i="53"/>
  <c r="K45" i="53"/>
  <c r="AE44" i="53"/>
  <c r="K44" i="53"/>
  <c r="CR43" i="53"/>
  <c r="CQ43" i="53"/>
  <c r="CP43" i="53"/>
  <c r="CO43" i="53"/>
  <c r="CM43" i="53"/>
  <c r="CL43" i="53"/>
  <c r="CK43" i="53"/>
  <c r="CJ43" i="53"/>
  <c r="CH43" i="53"/>
  <c r="CG43" i="53"/>
  <c r="CF43" i="53"/>
  <c r="CE43" i="53"/>
  <c r="CB43" i="53"/>
  <c r="BS43" i="53"/>
  <c r="BH43" i="53"/>
  <c r="AY43" i="53"/>
  <c r="AN43" i="53"/>
  <c r="AE43" i="53"/>
  <c r="T43" i="53"/>
  <c r="K43" i="53"/>
  <c r="CR42" i="53"/>
  <c r="CQ42" i="53"/>
  <c r="CP42" i="53"/>
  <c r="CO42" i="53"/>
  <c r="CM42" i="53"/>
  <c r="CL42" i="53"/>
  <c r="CK42" i="53"/>
  <c r="CJ42" i="53"/>
  <c r="CH42" i="53"/>
  <c r="CG42" i="53"/>
  <c r="CF42" i="53"/>
  <c r="CE42" i="53"/>
  <c r="CB42" i="53"/>
  <c r="BS42" i="53"/>
  <c r="BH42" i="53"/>
  <c r="AY42" i="53"/>
  <c r="AN42" i="53"/>
  <c r="AE42" i="53"/>
  <c r="T42" i="53"/>
  <c r="K42" i="53"/>
  <c r="CR41" i="53"/>
  <c r="CQ41" i="53"/>
  <c r="CP41" i="53"/>
  <c r="CO41" i="53"/>
  <c r="CM41" i="53"/>
  <c r="CL41" i="53"/>
  <c r="CK41" i="53"/>
  <c r="CJ41" i="53"/>
  <c r="CH41" i="53"/>
  <c r="CG41" i="53"/>
  <c r="CF41" i="53"/>
  <c r="CE41" i="53"/>
  <c r="CB41" i="53"/>
  <c r="BS41" i="53"/>
  <c r="BH41" i="53"/>
  <c r="AY41" i="53"/>
  <c r="AN41" i="53"/>
  <c r="AE41" i="53"/>
  <c r="T41" i="53"/>
  <c r="K41" i="53"/>
  <c r="CR40" i="53"/>
  <c r="CQ40" i="53"/>
  <c r="CP40" i="53"/>
  <c r="CO40" i="53"/>
  <c r="CM40" i="53"/>
  <c r="CL40" i="53"/>
  <c r="CK40" i="53"/>
  <c r="CJ40" i="53"/>
  <c r="CH40" i="53"/>
  <c r="CG40" i="53"/>
  <c r="CF40" i="53"/>
  <c r="CE40" i="53"/>
  <c r="CB40" i="53"/>
  <c r="BS40" i="53"/>
  <c r="BH40" i="53"/>
  <c r="AY40" i="53"/>
  <c r="AN40" i="53"/>
  <c r="AE40" i="53"/>
  <c r="T40" i="53"/>
  <c r="K40" i="53"/>
  <c r="CR39" i="53"/>
  <c r="CQ39" i="53"/>
  <c r="CP39" i="53"/>
  <c r="CO39" i="53"/>
  <c r="CM39" i="53"/>
  <c r="CL39" i="53"/>
  <c r="CK39" i="53"/>
  <c r="CJ39" i="53"/>
  <c r="CH39" i="53"/>
  <c r="CG39" i="53"/>
  <c r="CF39" i="53"/>
  <c r="CE39" i="53"/>
  <c r="CB39" i="53"/>
  <c r="BS39" i="53"/>
  <c r="BH39" i="53"/>
  <c r="AY39" i="53"/>
  <c r="AN39" i="53"/>
  <c r="AE39" i="53"/>
  <c r="T39" i="53"/>
  <c r="K39" i="53"/>
  <c r="CR38" i="53"/>
  <c r="CQ38" i="53"/>
  <c r="CP38" i="53"/>
  <c r="CO38" i="53"/>
  <c r="CM38" i="53"/>
  <c r="CL38" i="53"/>
  <c r="CK38" i="53"/>
  <c r="CJ38" i="53"/>
  <c r="CH38" i="53"/>
  <c r="CG38" i="53"/>
  <c r="CF38" i="53"/>
  <c r="CE38" i="53"/>
  <c r="CB38" i="53"/>
  <c r="BS38" i="53"/>
  <c r="BH38" i="53"/>
  <c r="AY38" i="53"/>
  <c r="AN38" i="53"/>
  <c r="AE38" i="53"/>
  <c r="T38" i="53"/>
  <c r="K38" i="53"/>
  <c r="CR37" i="53"/>
  <c r="CQ37" i="53"/>
  <c r="CP37" i="53"/>
  <c r="CO37" i="53"/>
  <c r="CM37" i="53"/>
  <c r="CL37" i="53"/>
  <c r="CK37" i="53"/>
  <c r="CJ37" i="53"/>
  <c r="CH37" i="53"/>
  <c r="CG37" i="53"/>
  <c r="CF37" i="53"/>
  <c r="CE37" i="53"/>
  <c r="CB37" i="53"/>
  <c r="BS37" i="53"/>
  <c r="BH37" i="53"/>
  <c r="AY37" i="53"/>
  <c r="AN37" i="53"/>
  <c r="AE37" i="53"/>
  <c r="T37" i="53"/>
  <c r="K37" i="53"/>
  <c r="CR36" i="53"/>
  <c r="CQ36" i="53"/>
  <c r="CP36" i="53"/>
  <c r="CO36" i="53"/>
  <c r="CM36" i="53"/>
  <c r="CL36" i="53"/>
  <c r="CK36" i="53"/>
  <c r="CJ36" i="53"/>
  <c r="CH36" i="53"/>
  <c r="CG36" i="53"/>
  <c r="CF36" i="53"/>
  <c r="CE36" i="53"/>
  <c r="CB36" i="53"/>
  <c r="BS36" i="53"/>
  <c r="BH36" i="53"/>
  <c r="AY36" i="53"/>
  <c r="AN36" i="53"/>
  <c r="AE36" i="53"/>
  <c r="T36" i="53"/>
  <c r="K36" i="53"/>
  <c r="CR35" i="53"/>
  <c r="CQ35" i="53"/>
  <c r="CP35" i="53"/>
  <c r="CO35" i="53"/>
  <c r="CM35" i="53"/>
  <c r="CL35" i="53"/>
  <c r="CK35" i="53"/>
  <c r="CJ35" i="53"/>
  <c r="CH35" i="53"/>
  <c r="CG35" i="53"/>
  <c r="CF35" i="53"/>
  <c r="CE35" i="53"/>
  <c r="CB35" i="53"/>
  <c r="BS35" i="53"/>
  <c r="BH35" i="53"/>
  <c r="AY35" i="53"/>
  <c r="AN35" i="53"/>
  <c r="AE35" i="53"/>
  <c r="T35" i="53"/>
  <c r="K35" i="53"/>
  <c r="CR28" i="53"/>
  <c r="CQ28" i="53"/>
  <c r="CP28" i="53"/>
  <c r="CO28" i="53"/>
  <c r="CM28" i="53"/>
  <c r="CL28" i="53"/>
  <c r="CK28" i="53"/>
  <c r="CJ28" i="53"/>
  <c r="CH28" i="53"/>
  <c r="CG28" i="53"/>
  <c r="CF28" i="53"/>
  <c r="CE28" i="53"/>
  <c r="CB28" i="53"/>
  <c r="BS28" i="53"/>
  <c r="BI28" i="53"/>
  <c r="BH28" i="53"/>
  <c r="AY28" i="53"/>
  <c r="AN28" i="53"/>
  <c r="AE28" i="53"/>
  <c r="AO28" i="53" s="1"/>
  <c r="T28" i="53"/>
  <c r="CN28" i="53" s="1"/>
  <c r="K28" i="53"/>
  <c r="CR27" i="53"/>
  <c r="CQ27" i="53"/>
  <c r="CP27" i="53"/>
  <c r="CO27" i="53"/>
  <c r="CM27" i="53"/>
  <c r="CL27" i="53"/>
  <c r="CK27" i="53"/>
  <c r="CJ27" i="53"/>
  <c r="CH27" i="53"/>
  <c r="CG27" i="53"/>
  <c r="CF27" i="53"/>
  <c r="CE27" i="53"/>
  <c r="CB27" i="53"/>
  <c r="BS27" i="53"/>
  <c r="CC27" i="53" s="1"/>
  <c r="BH27" i="53"/>
  <c r="AY27" i="53"/>
  <c r="AN27" i="53"/>
  <c r="AE27" i="53"/>
  <c r="T27" i="53"/>
  <c r="K27" i="53"/>
  <c r="CR26" i="53"/>
  <c r="CQ26" i="53"/>
  <c r="CP26" i="53"/>
  <c r="CO26" i="53"/>
  <c r="CM26" i="53"/>
  <c r="CL26" i="53"/>
  <c r="CK26" i="53"/>
  <c r="CJ26" i="53"/>
  <c r="CH26" i="53"/>
  <c r="CG26" i="53"/>
  <c r="CF26" i="53"/>
  <c r="CE26" i="53"/>
  <c r="CB26" i="53"/>
  <c r="BS26" i="53"/>
  <c r="BH26" i="53"/>
  <c r="AY26" i="53"/>
  <c r="AN26" i="53"/>
  <c r="AE26" i="53"/>
  <c r="T26" i="53"/>
  <c r="K26" i="53"/>
  <c r="CM25" i="53"/>
  <c r="CL25" i="53"/>
  <c r="CK25" i="53"/>
  <c r="CJ25" i="53"/>
  <c r="CB25" i="53"/>
  <c r="BH25" i="53"/>
  <c r="BI25" i="53" s="1"/>
  <c r="AY25" i="53"/>
  <c r="AN25" i="53"/>
  <c r="AE25" i="53"/>
  <c r="T25" i="53"/>
  <c r="K25" i="53"/>
  <c r="CH22" i="53"/>
  <c r="CG22" i="53"/>
  <c r="CF22" i="53"/>
  <c r="CE22" i="53"/>
  <c r="BS22" i="53"/>
  <c r="AY22" i="53"/>
  <c r="AE22" i="53"/>
  <c r="K22" i="53"/>
  <c r="CR21" i="53"/>
  <c r="CQ21" i="53"/>
  <c r="CP21" i="53"/>
  <c r="CO21" i="53"/>
  <c r="CM21" i="53"/>
  <c r="CL21" i="53"/>
  <c r="CK21" i="53"/>
  <c r="CJ21" i="53"/>
  <c r="CH21" i="53"/>
  <c r="CG21" i="53"/>
  <c r="CF21" i="53"/>
  <c r="CE21" i="53"/>
  <c r="CB21" i="53"/>
  <c r="BS21" i="53"/>
  <c r="BH21" i="53"/>
  <c r="AY21" i="53"/>
  <c r="AN21" i="53"/>
  <c r="AE21" i="53"/>
  <c r="T21" i="53"/>
  <c r="K21" i="53"/>
  <c r="U21" i="53" s="1"/>
  <c r="CA20" i="53"/>
  <c r="BZ20" i="53"/>
  <c r="BZ23" i="53" s="1"/>
  <c r="BY20" i="53"/>
  <c r="BX20" i="53"/>
  <c r="BX23" i="53" s="1"/>
  <c r="BW20" i="53"/>
  <c r="BV20" i="53"/>
  <c r="BV23" i="53" s="1"/>
  <c r="BU20" i="53"/>
  <c r="BT20" i="53"/>
  <c r="BR20" i="53"/>
  <c r="BR23" i="53" s="1"/>
  <c r="BQ20" i="53"/>
  <c r="BQ23" i="53" s="1"/>
  <c r="BP20" i="53"/>
  <c r="BP23" i="53" s="1"/>
  <c r="BO20" i="53"/>
  <c r="BO23" i="53" s="1"/>
  <c r="BN20" i="53"/>
  <c r="BN23" i="53" s="1"/>
  <c r="BM20" i="53"/>
  <c r="BM23" i="53" s="1"/>
  <c r="BL20" i="53"/>
  <c r="BL23" i="53" s="1"/>
  <c r="BK20" i="53"/>
  <c r="BK23" i="53" s="1"/>
  <c r="BG20" i="53"/>
  <c r="BF20" i="53"/>
  <c r="BF23" i="53" s="1"/>
  <c r="BE20" i="53"/>
  <c r="BD20" i="53"/>
  <c r="BD23" i="53" s="1"/>
  <c r="BC20" i="53"/>
  <c r="BB20" i="53"/>
  <c r="BB23" i="53" s="1"/>
  <c r="BA20" i="53"/>
  <c r="AZ20" i="53"/>
  <c r="AZ23" i="53" s="1"/>
  <c r="AX20" i="53"/>
  <c r="AX23" i="53" s="1"/>
  <c r="AW20" i="53"/>
  <c r="AW23" i="53" s="1"/>
  <c r="AV20" i="53"/>
  <c r="AV23" i="53" s="1"/>
  <c r="AU20" i="53"/>
  <c r="AU23" i="53" s="1"/>
  <c r="AT20" i="53"/>
  <c r="AT23" i="53" s="1"/>
  <c r="AS20" i="53"/>
  <c r="AS23" i="53" s="1"/>
  <c r="AR20" i="53"/>
  <c r="AR23" i="53" s="1"/>
  <c r="AQ20" i="53"/>
  <c r="AQ23" i="53" s="1"/>
  <c r="AM20" i="53"/>
  <c r="AL20" i="53"/>
  <c r="AL23" i="53" s="1"/>
  <c r="AK20" i="53"/>
  <c r="AJ20" i="53"/>
  <c r="AJ23" i="53" s="1"/>
  <c r="AI20" i="53"/>
  <c r="AH20" i="53"/>
  <c r="AH23" i="53" s="1"/>
  <c r="AG20" i="53"/>
  <c r="AF20" i="53"/>
  <c r="AD20" i="53"/>
  <c r="AD23" i="53" s="1"/>
  <c r="AC20" i="53"/>
  <c r="AC23" i="53" s="1"/>
  <c r="AB20" i="53"/>
  <c r="AB23" i="53" s="1"/>
  <c r="AA20" i="53"/>
  <c r="AA23" i="53" s="1"/>
  <c r="Z20" i="53"/>
  <c r="Z23" i="53" s="1"/>
  <c r="Y20" i="53"/>
  <c r="X20" i="53"/>
  <c r="X23" i="53" s="1"/>
  <c r="W20" i="53"/>
  <c r="W23" i="53" s="1"/>
  <c r="S20" i="53"/>
  <c r="R20" i="53"/>
  <c r="Q20" i="53"/>
  <c r="P20" i="53"/>
  <c r="O20" i="53"/>
  <c r="N20" i="53"/>
  <c r="N23" i="53" s="1"/>
  <c r="M20" i="53"/>
  <c r="L20" i="53"/>
  <c r="L23" i="53" s="1"/>
  <c r="J20" i="53"/>
  <c r="J23" i="53" s="1"/>
  <c r="I20" i="53"/>
  <c r="H20" i="53"/>
  <c r="H23" i="53" s="1"/>
  <c r="G20" i="53"/>
  <c r="F20" i="53"/>
  <c r="F23" i="53" s="1"/>
  <c r="E20" i="53"/>
  <c r="E23" i="53" s="1"/>
  <c r="D20" i="53"/>
  <c r="D23" i="53" s="1"/>
  <c r="C20" i="53"/>
  <c r="CR19" i="53"/>
  <c r="CQ19" i="53"/>
  <c r="CP19" i="53"/>
  <c r="CO19" i="53"/>
  <c r="CM19" i="53"/>
  <c r="CL19" i="53"/>
  <c r="CK19" i="53"/>
  <c r="CJ19" i="53"/>
  <c r="CH19" i="53"/>
  <c r="CG19" i="53"/>
  <c r="CF19" i="53"/>
  <c r="CE19" i="53"/>
  <c r="CB19" i="53"/>
  <c r="BS19" i="53"/>
  <c r="BH19" i="53"/>
  <c r="AY19" i="53"/>
  <c r="AN19" i="53"/>
  <c r="AE19" i="53"/>
  <c r="T19" i="53"/>
  <c r="K19" i="53"/>
  <c r="CR18" i="53"/>
  <c r="CQ18" i="53"/>
  <c r="CP18" i="53"/>
  <c r="CO18" i="53"/>
  <c r="CM18" i="53"/>
  <c r="CL18" i="53"/>
  <c r="CK18" i="53"/>
  <c r="CJ18" i="53"/>
  <c r="CH18" i="53"/>
  <c r="CG18" i="53"/>
  <c r="CF18" i="53"/>
  <c r="CE18" i="53"/>
  <c r="CB18" i="53"/>
  <c r="BS18" i="53"/>
  <c r="BH18" i="53"/>
  <c r="AY18" i="53"/>
  <c r="AN18" i="53"/>
  <c r="AE18" i="53"/>
  <c r="T18" i="53"/>
  <c r="K18" i="53"/>
  <c r="CR17" i="53"/>
  <c r="CQ17" i="53"/>
  <c r="CP17" i="53"/>
  <c r="CO17" i="53"/>
  <c r="CM17" i="53"/>
  <c r="CL17" i="53"/>
  <c r="CK17" i="53"/>
  <c r="CJ17" i="53"/>
  <c r="CH17" i="53"/>
  <c r="CG17" i="53"/>
  <c r="CF17" i="53"/>
  <c r="CE17" i="53"/>
  <c r="CB17" i="53"/>
  <c r="BS17" i="53"/>
  <c r="BH17" i="53"/>
  <c r="AY17" i="53"/>
  <c r="AN17" i="53"/>
  <c r="AE17" i="53"/>
  <c r="T17" i="53"/>
  <c r="K17" i="53"/>
  <c r="CR16" i="53"/>
  <c r="CQ16" i="53"/>
  <c r="CP16" i="53"/>
  <c r="CO16" i="53"/>
  <c r="CM16" i="53"/>
  <c r="CL16" i="53"/>
  <c r="CK16" i="53"/>
  <c r="CJ16" i="53"/>
  <c r="CH16" i="53"/>
  <c r="CG16" i="53"/>
  <c r="CF16" i="53"/>
  <c r="CE16" i="53"/>
  <c r="CB16" i="53"/>
  <c r="BS16" i="53"/>
  <c r="BH16" i="53"/>
  <c r="AY16" i="53"/>
  <c r="AN16" i="53"/>
  <c r="AE16" i="53"/>
  <c r="T16" i="53"/>
  <c r="K16" i="53"/>
  <c r="CA14" i="53"/>
  <c r="BZ14" i="53"/>
  <c r="BY14" i="53"/>
  <c r="BX14" i="53"/>
  <c r="BW14" i="53"/>
  <c r="BV14" i="53"/>
  <c r="BU14" i="53"/>
  <c r="BT14" i="53"/>
  <c r="BR14" i="53"/>
  <c r="BQ14" i="53"/>
  <c r="BP14" i="53"/>
  <c r="BO14" i="53"/>
  <c r="BN14" i="53"/>
  <c r="BM14" i="53"/>
  <c r="BL14" i="53"/>
  <c r="BK14" i="53"/>
  <c r="BG14" i="53"/>
  <c r="BF14" i="53"/>
  <c r="BE14" i="53"/>
  <c r="BC14" i="53"/>
  <c r="BA14" i="53"/>
  <c r="AZ14" i="53"/>
  <c r="AX14" i="53"/>
  <c r="AV14" i="53"/>
  <c r="AT14" i="53"/>
  <c r="AS14" i="53"/>
  <c r="AR14" i="53"/>
  <c r="AM14" i="53"/>
  <c r="AL14" i="53"/>
  <c r="AK14" i="53"/>
  <c r="AJ14" i="53"/>
  <c r="AI14" i="53"/>
  <c r="AH14" i="53"/>
  <c r="AG14" i="53"/>
  <c r="AF14" i="53"/>
  <c r="AD14" i="53"/>
  <c r="AC14" i="53"/>
  <c r="AB14" i="53"/>
  <c r="AA14" i="53"/>
  <c r="Z14" i="53"/>
  <c r="Y14" i="53"/>
  <c r="X14" i="53"/>
  <c r="W14" i="53"/>
  <c r="S14" i="53"/>
  <c r="Q14" i="53"/>
  <c r="O14" i="53"/>
  <c r="M14" i="53"/>
  <c r="L14" i="53"/>
  <c r="J14" i="53"/>
  <c r="H14" i="53"/>
  <c r="F14" i="53"/>
  <c r="E14" i="53"/>
  <c r="D14" i="53"/>
  <c r="E41" i="39"/>
  <c r="F41" i="39"/>
  <c r="G41" i="39"/>
  <c r="I41" i="39"/>
  <c r="J41" i="39"/>
  <c r="K41" i="39"/>
  <c r="BZ45" i="36" l="1"/>
  <c r="BB20" i="36"/>
  <c r="AK20" i="36"/>
  <c r="BC20" i="36"/>
  <c r="CA20" i="36"/>
  <c r="CH45" i="54"/>
  <c r="AV66" i="54"/>
  <c r="AO21" i="54"/>
  <c r="CF45" i="54"/>
  <c r="AF20" i="36"/>
  <c r="AW20" i="36"/>
  <c r="BO20" i="36"/>
  <c r="AG20" i="36"/>
  <c r="AX20" i="36"/>
  <c r="BP20" i="36"/>
  <c r="BP23" i="36" s="1"/>
  <c r="AO19" i="53"/>
  <c r="CN21" i="54"/>
  <c r="BR23" i="36"/>
  <c r="AI20" i="36"/>
  <c r="BA20" i="36"/>
  <c r="AM20" i="36"/>
  <c r="BE20" i="36"/>
  <c r="BW20" i="36"/>
  <c r="BF20" i="36"/>
  <c r="BF23" i="36" s="1"/>
  <c r="AT66" i="54"/>
  <c r="AH20" i="36"/>
  <c r="BQ20" i="36"/>
  <c r="BQ23" i="36" s="1"/>
  <c r="W20" i="36"/>
  <c r="W23" i="36" s="1"/>
  <c r="AL20" i="36"/>
  <c r="AL23" i="36" s="1"/>
  <c r="BV20" i="36"/>
  <c r="BV23" i="36" s="1"/>
  <c r="X20" i="36"/>
  <c r="X23" i="36" s="1"/>
  <c r="BG20" i="36"/>
  <c r="BY20" i="36"/>
  <c r="AA20" i="36"/>
  <c r="AS20" i="36"/>
  <c r="AS23" i="36" s="1"/>
  <c r="BK20" i="36"/>
  <c r="BK23" i="36" s="1"/>
  <c r="BZ20" i="36"/>
  <c r="BZ23" i="36" s="1"/>
  <c r="AB20" i="36"/>
  <c r="AT20" i="36"/>
  <c r="AT23" i="36" s="1"/>
  <c r="BL20" i="36"/>
  <c r="AC20" i="36"/>
  <c r="AU20" i="36"/>
  <c r="BO23" i="36"/>
  <c r="BM20" i="36"/>
  <c r="BM23" i="36" s="1"/>
  <c r="AD20" i="36"/>
  <c r="AD23" i="36" s="1"/>
  <c r="AV20" i="36"/>
  <c r="AV23" i="36" s="1"/>
  <c r="BN20" i="36"/>
  <c r="BN23" i="36" s="1"/>
  <c r="BD20" i="36"/>
  <c r="BD23" i="36" s="1"/>
  <c r="AO61" i="54"/>
  <c r="CE44" i="54"/>
  <c r="AZ66" i="54"/>
  <c r="BB44" i="36"/>
  <c r="AO62" i="54"/>
  <c r="CC62" i="54"/>
  <c r="CC64" i="54"/>
  <c r="CF44" i="54"/>
  <c r="Z20" i="36"/>
  <c r="Z23" i="36" s="1"/>
  <c r="CC59" i="54"/>
  <c r="AX66" i="54"/>
  <c r="BN66" i="53"/>
  <c r="BX66" i="53"/>
  <c r="BD66" i="54"/>
  <c r="BX45" i="36"/>
  <c r="CF45" i="53"/>
  <c r="CF44" i="53"/>
  <c r="AR66" i="53"/>
  <c r="BD45" i="36"/>
  <c r="BV66" i="53"/>
  <c r="BB66" i="53"/>
  <c r="BB23" i="36"/>
  <c r="BF44" i="36"/>
  <c r="P66" i="53"/>
  <c r="R45" i="36"/>
  <c r="BV45" i="36"/>
  <c r="N66" i="54"/>
  <c r="N45" i="36"/>
  <c r="P45" i="36"/>
  <c r="P66" i="54"/>
  <c r="BL66" i="53"/>
  <c r="BD44" i="36"/>
  <c r="CH45" i="53"/>
  <c r="BX44" i="36"/>
  <c r="BV44" i="36"/>
  <c r="BK66" i="53"/>
  <c r="BZ66" i="53"/>
  <c r="BF66" i="53"/>
  <c r="N66" i="53"/>
  <c r="CG44" i="53"/>
  <c r="N44" i="36"/>
  <c r="P44" i="36"/>
  <c r="AW66" i="53"/>
  <c r="BS44" i="53"/>
  <c r="R44" i="36"/>
  <c r="CG44" i="54"/>
  <c r="CG66" i="54" s="1"/>
  <c r="BZ44" i="36"/>
  <c r="BB45" i="36"/>
  <c r="AZ45" i="36"/>
  <c r="BF45" i="36"/>
  <c r="CE44" i="53"/>
  <c r="BQ66" i="53"/>
  <c r="AY44" i="54"/>
  <c r="BI18" i="53"/>
  <c r="BU20" i="36"/>
  <c r="BI17" i="54"/>
  <c r="R66" i="54"/>
  <c r="BB66" i="54"/>
  <c r="R66" i="53"/>
  <c r="BD66" i="53"/>
  <c r="AU66" i="53"/>
  <c r="AQ66" i="54"/>
  <c r="AY45" i="53"/>
  <c r="AZ44" i="36"/>
  <c r="CH44" i="54"/>
  <c r="BT44" i="36"/>
  <c r="BS45" i="53"/>
  <c r="AS66" i="54"/>
  <c r="CH44" i="53"/>
  <c r="AX66" i="53"/>
  <c r="BR66" i="53"/>
  <c r="CG45" i="53"/>
  <c r="BM66" i="53"/>
  <c r="AY44" i="53"/>
  <c r="CE45" i="53"/>
  <c r="AQ66" i="53"/>
  <c r="AZ66" i="53"/>
  <c r="BT66" i="53"/>
  <c r="CE45" i="54"/>
  <c r="AU66" i="54"/>
  <c r="BT45" i="36"/>
  <c r="AT66" i="53"/>
  <c r="CN18" i="54"/>
  <c r="AY45" i="54"/>
  <c r="CI45" i="54" s="1"/>
  <c r="BT20" i="36"/>
  <c r="BT23" i="36" s="1"/>
  <c r="AV66" i="53"/>
  <c r="BP66" i="53"/>
  <c r="CC17" i="54"/>
  <c r="AO18" i="54"/>
  <c r="CC18" i="53"/>
  <c r="CM20" i="53"/>
  <c r="CC56" i="53"/>
  <c r="CC57" i="53"/>
  <c r="AO60" i="54"/>
  <c r="CI46" i="53"/>
  <c r="CI47" i="53"/>
  <c r="CC64" i="53"/>
  <c r="CN58" i="54"/>
  <c r="BI63" i="54"/>
  <c r="AO59" i="54"/>
  <c r="BI38" i="53"/>
  <c r="BI63" i="53"/>
  <c r="BI48" i="53"/>
  <c r="BI56" i="53"/>
  <c r="U58" i="53"/>
  <c r="CN64" i="53"/>
  <c r="CC38" i="54"/>
  <c r="AO50" i="54"/>
  <c r="AO51" i="54"/>
  <c r="AO52" i="54"/>
  <c r="AO53" i="54"/>
  <c r="CC56" i="54"/>
  <c r="AO63" i="54"/>
  <c r="CN64" i="54"/>
  <c r="AO39" i="53"/>
  <c r="CC39" i="53"/>
  <c r="CC46" i="53"/>
  <c r="CC62" i="53"/>
  <c r="AO64" i="53"/>
  <c r="U50" i="54"/>
  <c r="CI55" i="54"/>
  <c r="CI59" i="54"/>
  <c r="CC63" i="54"/>
  <c r="AO64" i="54"/>
  <c r="U43" i="53"/>
  <c r="BI19" i="53"/>
  <c r="U16" i="54"/>
  <c r="BI18" i="54"/>
  <c r="BI40" i="53"/>
  <c r="BI41" i="53"/>
  <c r="CC40" i="53"/>
  <c r="AO41" i="53"/>
  <c r="CC54" i="53"/>
  <c r="CC55" i="53"/>
  <c r="BI50" i="54"/>
  <c r="CN48" i="53"/>
  <c r="AO35" i="53"/>
  <c r="AO36" i="53"/>
  <c r="AO37" i="53"/>
  <c r="AO38" i="53"/>
  <c r="BI42" i="53"/>
  <c r="BI43" i="53"/>
  <c r="AO57" i="53"/>
  <c r="AO35" i="54"/>
  <c r="BI48" i="54"/>
  <c r="U51" i="54"/>
  <c r="BI51" i="54"/>
  <c r="U52" i="54"/>
  <c r="BI52" i="54"/>
  <c r="BI53" i="54"/>
  <c r="CI38" i="54"/>
  <c r="AO48" i="54"/>
  <c r="CI16" i="53"/>
  <c r="U50" i="53"/>
  <c r="BI50" i="53"/>
  <c r="U51" i="53"/>
  <c r="BI51" i="53"/>
  <c r="BI52" i="53"/>
  <c r="BI53" i="53"/>
  <c r="CN54" i="53"/>
  <c r="AO58" i="53"/>
  <c r="CN17" i="54"/>
  <c r="AO19" i="54"/>
  <c r="U36" i="54"/>
  <c r="U38" i="54"/>
  <c r="CC83" i="54"/>
  <c r="CC85" i="54"/>
  <c r="CN56" i="54"/>
  <c r="CC54" i="54"/>
  <c r="CC55" i="54"/>
  <c r="CC37" i="54"/>
  <c r="CC42" i="54"/>
  <c r="CC50" i="54"/>
  <c r="CC51" i="54"/>
  <c r="CC43" i="54"/>
  <c r="CI49" i="54"/>
  <c r="CB25" i="36"/>
  <c r="CC27" i="54"/>
  <c r="BS26" i="36"/>
  <c r="CC26" i="36" s="1"/>
  <c r="BS27" i="36"/>
  <c r="BS28" i="36"/>
  <c r="CC28" i="36" s="1"/>
  <c r="BI77" i="54"/>
  <c r="BI55" i="54"/>
  <c r="BI62" i="54"/>
  <c r="BI35" i="54"/>
  <c r="BI36" i="54"/>
  <c r="BI57" i="54"/>
  <c r="BI58" i="54"/>
  <c r="BI39" i="54"/>
  <c r="BI41" i="54"/>
  <c r="BI43" i="54"/>
  <c r="BI25" i="54"/>
  <c r="AO82" i="54"/>
  <c r="AO80" i="54"/>
  <c r="AO56" i="54"/>
  <c r="AO41" i="54"/>
  <c r="AO42" i="54"/>
  <c r="AO46" i="54"/>
  <c r="CI61" i="54"/>
  <c r="CN26" i="54"/>
  <c r="CI22" i="54"/>
  <c r="CN48" i="54"/>
  <c r="U48" i="54"/>
  <c r="CI42" i="54"/>
  <c r="U42" i="54"/>
  <c r="U43" i="54"/>
  <c r="U46" i="54"/>
  <c r="U54" i="54"/>
  <c r="CN16" i="54"/>
  <c r="CC78" i="53"/>
  <c r="CN57" i="53"/>
  <c r="CI48" i="53"/>
  <c r="CC58" i="53"/>
  <c r="CC35" i="53"/>
  <c r="CC36" i="53"/>
  <c r="CC38" i="53"/>
  <c r="CC48" i="53"/>
  <c r="BS22" i="36"/>
  <c r="CC21" i="53"/>
  <c r="BX20" i="36"/>
  <c r="BX23" i="36" s="1"/>
  <c r="BI46" i="53"/>
  <c r="BI39" i="53"/>
  <c r="BI21" i="53"/>
  <c r="AO77" i="53"/>
  <c r="AO84" i="53"/>
  <c r="AO85" i="53"/>
  <c r="CS85" i="53" s="1"/>
  <c r="CN58" i="53"/>
  <c r="CN46" i="53"/>
  <c r="CJ70" i="53"/>
  <c r="CI35" i="53"/>
  <c r="AO49" i="53"/>
  <c r="AO50" i="53"/>
  <c r="CI52" i="53"/>
  <c r="CI54" i="53"/>
  <c r="CI41" i="53"/>
  <c r="CI56" i="53"/>
  <c r="CG70" i="53"/>
  <c r="AO26" i="53"/>
  <c r="CN16" i="53"/>
  <c r="CN18" i="53"/>
  <c r="CN17" i="53"/>
  <c r="CR20" i="53"/>
  <c r="U80" i="53"/>
  <c r="U82" i="53"/>
  <c r="CN40" i="53"/>
  <c r="CN49" i="53"/>
  <c r="U40" i="53"/>
  <c r="U49" i="53"/>
  <c r="U52" i="53"/>
  <c r="U42" i="53"/>
  <c r="U55" i="53"/>
  <c r="U39" i="53"/>
  <c r="U27" i="53"/>
  <c r="U19" i="53"/>
  <c r="D20" i="36"/>
  <c r="CB21" i="36"/>
  <c r="CC21" i="36" s="1"/>
  <c r="E20" i="36"/>
  <c r="E23" i="36" s="1"/>
  <c r="I20" i="36"/>
  <c r="I23" i="36" s="1"/>
  <c r="L20" i="39"/>
  <c r="C14" i="53"/>
  <c r="N14" i="53"/>
  <c r="AQ14" i="53"/>
  <c r="BB14" i="53"/>
  <c r="C14" i="54"/>
  <c r="CO14" i="54" s="1"/>
  <c r="AW14" i="53"/>
  <c r="R14" i="53"/>
  <c r="CM14" i="53" s="1"/>
  <c r="R14" i="54"/>
  <c r="CM14" i="54" s="1"/>
  <c r="L34" i="39"/>
  <c r="I14" i="53"/>
  <c r="D41" i="39"/>
  <c r="H41" i="39"/>
  <c r="G14" i="53"/>
  <c r="P14" i="53"/>
  <c r="AU14" i="53"/>
  <c r="BD14" i="53"/>
  <c r="G14" i="54"/>
  <c r="P14" i="54"/>
  <c r="CL14" i="54" s="1"/>
  <c r="AU14" i="54"/>
  <c r="AY14" i="54" s="1"/>
  <c r="CN80" i="54"/>
  <c r="AO16" i="53"/>
  <c r="CC16" i="53"/>
  <c r="AO17" i="53"/>
  <c r="CC17" i="53"/>
  <c r="AO18" i="53"/>
  <c r="CN19" i="53"/>
  <c r="CI19" i="53"/>
  <c r="AO21" i="53"/>
  <c r="U26" i="53"/>
  <c r="BI26" i="53"/>
  <c r="CI27" i="53"/>
  <c r="BI27" i="53"/>
  <c r="CC28" i="53"/>
  <c r="CC37" i="53"/>
  <c r="AO40" i="53"/>
  <c r="U41" i="53"/>
  <c r="CN41" i="53"/>
  <c r="AO42" i="53"/>
  <c r="BI49" i="53"/>
  <c r="CI50" i="53"/>
  <c r="BI57" i="53"/>
  <c r="AO59" i="53"/>
  <c r="CC59" i="53"/>
  <c r="AO60" i="53"/>
  <c r="CC60" i="53"/>
  <c r="AO61" i="53"/>
  <c r="CC61" i="53"/>
  <c r="AO62" i="53"/>
  <c r="AO63" i="53"/>
  <c r="CC63" i="53"/>
  <c r="U78" i="53"/>
  <c r="U85" i="53"/>
  <c r="CC16" i="54"/>
  <c r="CF20" i="54"/>
  <c r="E23" i="54"/>
  <c r="CF23" i="54" s="1"/>
  <c r="AO27" i="54"/>
  <c r="CI57" i="54"/>
  <c r="U57" i="54"/>
  <c r="CN77" i="54"/>
  <c r="AO77" i="54"/>
  <c r="CE20" i="53"/>
  <c r="CQ20" i="53"/>
  <c r="CL20" i="53"/>
  <c r="AN20" i="53"/>
  <c r="AY20" i="53"/>
  <c r="CB20" i="53"/>
  <c r="CI21" i="53"/>
  <c r="G23" i="53"/>
  <c r="AF23" i="53"/>
  <c r="BT23" i="53"/>
  <c r="CN25" i="53"/>
  <c r="CN26" i="53"/>
  <c r="CI28" i="53"/>
  <c r="CI42" i="53"/>
  <c r="AO48" i="53"/>
  <c r="BI55" i="53"/>
  <c r="CI59" i="53"/>
  <c r="CF70" i="53"/>
  <c r="CN78" i="53"/>
  <c r="CC83" i="53"/>
  <c r="CN85" i="53"/>
  <c r="BI26" i="54"/>
  <c r="AO40" i="54"/>
  <c r="CN40" i="54"/>
  <c r="CN49" i="54"/>
  <c r="CF20" i="53"/>
  <c r="BI16" i="53"/>
  <c r="U17" i="53"/>
  <c r="BI17" i="53"/>
  <c r="U18" i="53"/>
  <c r="CC19" i="53"/>
  <c r="CN21" i="53"/>
  <c r="I23" i="53"/>
  <c r="AO25" i="53"/>
  <c r="CC26" i="53"/>
  <c r="AO27" i="53"/>
  <c r="CN43" i="53"/>
  <c r="U57" i="53"/>
  <c r="CI64" i="53"/>
  <c r="U28" i="54"/>
  <c r="CH70" i="54"/>
  <c r="CN35" i="53"/>
  <c r="CI36" i="53"/>
  <c r="CI37" i="53"/>
  <c r="CI38" i="53"/>
  <c r="CC42" i="53"/>
  <c r="CC50" i="53"/>
  <c r="CN56" i="53"/>
  <c r="BI58" i="53"/>
  <c r="CN59" i="53"/>
  <c r="CI60" i="53"/>
  <c r="CI61" i="53"/>
  <c r="CI62" i="53"/>
  <c r="CI63" i="53"/>
  <c r="AO17" i="54"/>
  <c r="CC19" i="54"/>
  <c r="CN25" i="54"/>
  <c r="CI27" i="54"/>
  <c r="CI35" i="54"/>
  <c r="CC35" i="54"/>
  <c r="CI40" i="54"/>
  <c r="BI42" i="54"/>
  <c r="U59" i="54"/>
  <c r="CC77" i="54"/>
  <c r="U35" i="53"/>
  <c r="BI35" i="53"/>
  <c r="U36" i="53"/>
  <c r="BI36" i="53"/>
  <c r="BI37" i="53"/>
  <c r="CN38" i="53"/>
  <c r="CI39" i="53"/>
  <c r="CC41" i="53"/>
  <c r="CI43" i="53"/>
  <c r="AO43" i="53"/>
  <c r="CC43" i="53"/>
  <c r="AO46" i="53"/>
  <c r="U48" i="53"/>
  <c r="CC49" i="53"/>
  <c r="CI51" i="53"/>
  <c r="AO51" i="53"/>
  <c r="CC51" i="53"/>
  <c r="AO52" i="53"/>
  <c r="CC52" i="53"/>
  <c r="AO53" i="53"/>
  <c r="AO54" i="53"/>
  <c r="AO56" i="53"/>
  <c r="CI58" i="53"/>
  <c r="U59" i="53"/>
  <c r="BI59" i="53"/>
  <c r="U60" i="53"/>
  <c r="BI60" i="53"/>
  <c r="BI61" i="53"/>
  <c r="CN62" i="53"/>
  <c r="BI62" i="53"/>
  <c r="U63" i="53"/>
  <c r="CI77" i="53"/>
  <c r="CI80" i="53"/>
  <c r="AO80" i="53"/>
  <c r="CC80" i="53"/>
  <c r="AO82" i="53"/>
  <c r="CN84" i="53"/>
  <c r="BI84" i="53"/>
  <c r="BI16" i="54"/>
  <c r="U17" i="54"/>
  <c r="CC18" i="54"/>
  <c r="CN19" i="54"/>
  <c r="BI19" i="54"/>
  <c r="CG20" i="54"/>
  <c r="CJ20" i="54"/>
  <c r="AY20" i="54"/>
  <c r="U21" i="54"/>
  <c r="AO26" i="54"/>
  <c r="CC26" i="54"/>
  <c r="U27" i="54"/>
  <c r="BI27" i="54"/>
  <c r="CN27" i="54"/>
  <c r="AO28" i="54"/>
  <c r="AO36" i="54"/>
  <c r="AO37" i="54"/>
  <c r="AO39" i="54"/>
  <c r="CI41" i="54"/>
  <c r="CC41" i="54"/>
  <c r="CI47" i="54"/>
  <c r="U49" i="54"/>
  <c r="BI54" i="54"/>
  <c r="AO57" i="54"/>
  <c r="U77" i="54"/>
  <c r="J20" i="36"/>
  <c r="AO16" i="54"/>
  <c r="U18" i="54"/>
  <c r="BI21" i="54"/>
  <c r="U26" i="54"/>
  <c r="CI28" i="54"/>
  <c r="BI38" i="54"/>
  <c r="CC39" i="54"/>
  <c r="CN41" i="54"/>
  <c r="U41" i="54"/>
  <c r="AE66" i="54"/>
  <c r="BI56" i="54"/>
  <c r="CN57" i="54"/>
  <c r="CC57" i="54"/>
  <c r="BI64" i="54"/>
  <c r="CR70" i="54"/>
  <c r="CM70" i="54"/>
  <c r="D70" i="36"/>
  <c r="U40" i="54"/>
  <c r="CC40" i="54"/>
  <c r="CI43" i="54"/>
  <c r="BI46" i="54"/>
  <c r="CC48" i="54"/>
  <c r="BI49" i="54"/>
  <c r="CN50" i="54"/>
  <c r="CI51" i="54"/>
  <c r="CN51" i="54"/>
  <c r="CC53" i="54"/>
  <c r="AO58" i="54"/>
  <c r="CC58" i="54"/>
  <c r="BI59" i="54"/>
  <c r="CN60" i="54"/>
  <c r="BI60" i="54"/>
  <c r="CN61" i="54"/>
  <c r="U62" i="54"/>
  <c r="CI63" i="54"/>
  <c r="AO78" i="54"/>
  <c r="CC78" i="54"/>
  <c r="G20" i="36"/>
  <c r="G23" i="36" s="1"/>
  <c r="AN19" i="36"/>
  <c r="AE22" i="36"/>
  <c r="AE25" i="36"/>
  <c r="AN25" i="36"/>
  <c r="AE26" i="36"/>
  <c r="AN26" i="36"/>
  <c r="AE27" i="36"/>
  <c r="AN27" i="36"/>
  <c r="AE28" i="36"/>
  <c r="AN28" i="36"/>
  <c r="E70" i="36"/>
  <c r="I70" i="36"/>
  <c r="L70" i="36"/>
  <c r="P70" i="36"/>
  <c r="W70" i="36"/>
  <c r="AA70" i="36"/>
  <c r="AF70" i="36"/>
  <c r="AJ70" i="36"/>
  <c r="AQ70" i="36"/>
  <c r="AU70" i="36"/>
  <c r="AZ70" i="36"/>
  <c r="BD70" i="36"/>
  <c r="BK70" i="36"/>
  <c r="BO70" i="36"/>
  <c r="BT70" i="36"/>
  <c r="BX70" i="36"/>
  <c r="AO49" i="54"/>
  <c r="AO55" i="54"/>
  <c r="U56" i="54"/>
  <c r="U58" i="54"/>
  <c r="CI58" i="54"/>
  <c r="CN59" i="54"/>
  <c r="CC61" i="54"/>
  <c r="U64" i="54"/>
  <c r="U76" i="54"/>
  <c r="CI76" i="54"/>
  <c r="AB23" i="36"/>
  <c r="M70" i="36"/>
  <c r="Q70" i="36"/>
  <c r="X70" i="36"/>
  <c r="AB70" i="36"/>
  <c r="AG70" i="36"/>
  <c r="AK70" i="36"/>
  <c r="AR70" i="36"/>
  <c r="AV70" i="36"/>
  <c r="BA70" i="36"/>
  <c r="BE70" i="36"/>
  <c r="BL70" i="36"/>
  <c r="BP70" i="36"/>
  <c r="BU70" i="36"/>
  <c r="BY70" i="36"/>
  <c r="CC27" i="36"/>
  <c r="Y23" i="36"/>
  <c r="AH23" i="36"/>
  <c r="AU23" i="36"/>
  <c r="BS16" i="36"/>
  <c r="CB16" i="36"/>
  <c r="BS18" i="36"/>
  <c r="CB18" i="36"/>
  <c r="BS19" i="36"/>
  <c r="CB19" i="36"/>
  <c r="H70" i="36"/>
  <c r="H20" i="36"/>
  <c r="H23" i="36" s="1"/>
  <c r="AE21" i="36"/>
  <c r="AN21" i="36"/>
  <c r="BL23" i="36"/>
  <c r="AW23" i="36"/>
  <c r="J23" i="36"/>
  <c r="AC23" i="36"/>
  <c r="AY16" i="36"/>
  <c r="BH16" i="36"/>
  <c r="BH17" i="36"/>
  <c r="AY18" i="36"/>
  <c r="BH18" i="36"/>
  <c r="AY19" i="36"/>
  <c r="AZ20" i="36"/>
  <c r="AZ23" i="36" s="1"/>
  <c r="AR20" i="36"/>
  <c r="AJ20" i="36"/>
  <c r="AJ23" i="36" s="1"/>
  <c r="AX23" i="36"/>
  <c r="D23" i="36"/>
  <c r="AE16" i="36"/>
  <c r="AN16" i="36"/>
  <c r="AE18" i="36"/>
  <c r="AN18" i="36"/>
  <c r="AE19" i="36"/>
  <c r="AY21" i="36"/>
  <c r="BH21" i="36"/>
  <c r="AY22" i="36"/>
  <c r="AY25" i="36"/>
  <c r="BH25" i="36"/>
  <c r="AY26" i="36"/>
  <c r="BH26" i="36"/>
  <c r="AY27" i="36"/>
  <c r="BH27" i="36"/>
  <c r="AY28" i="36"/>
  <c r="BH28" i="36"/>
  <c r="F70" i="36"/>
  <c r="F20" i="36"/>
  <c r="F23" i="36" s="1"/>
  <c r="G70" i="36"/>
  <c r="BS17" i="36"/>
  <c r="CB17" i="36"/>
  <c r="AQ23" i="36"/>
  <c r="AY17" i="36"/>
  <c r="BH19" i="36"/>
  <c r="AE17" i="36"/>
  <c r="AN17" i="36"/>
  <c r="AF23" i="36"/>
  <c r="AN14" i="54"/>
  <c r="AO14" i="54" s="1"/>
  <c r="AE14" i="54"/>
  <c r="AE14" i="53"/>
  <c r="AN14" i="53"/>
  <c r="AO14" i="53" s="1"/>
  <c r="CR14" i="54"/>
  <c r="CJ14" i="54"/>
  <c r="CF14" i="54"/>
  <c r="CP14" i="54"/>
  <c r="CJ14" i="53"/>
  <c r="BS14" i="53"/>
  <c r="CB14" i="53"/>
  <c r="CC14" i="53" s="1"/>
  <c r="CP14" i="53"/>
  <c r="BH14" i="54"/>
  <c r="BI14" i="54" s="1"/>
  <c r="BS14" i="54"/>
  <c r="CB14" i="54"/>
  <c r="CC14" i="54" s="1"/>
  <c r="CH14" i="54"/>
  <c r="CP20" i="54"/>
  <c r="CQ20" i="54"/>
  <c r="CN28" i="54"/>
  <c r="AJ23" i="54"/>
  <c r="CL20" i="54"/>
  <c r="CH23" i="54"/>
  <c r="CN35" i="54"/>
  <c r="U35" i="54"/>
  <c r="CR20" i="54"/>
  <c r="CM20" i="54"/>
  <c r="CK14" i="54"/>
  <c r="CO20" i="54"/>
  <c r="C23" i="54"/>
  <c r="CE20" i="54"/>
  <c r="K20" i="54"/>
  <c r="CI19" i="54"/>
  <c r="AE23" i="54"/>
  <c r="BH20" i="54"/>
  <c r="R23" i="54"/>
  <c r="CI17" i="54"/>
  <c r="AY23" i="54"/>
  <c r="BS20" i="54"/>
  <c r="CB20" i="54"/>
  <c r="CH20" i="54"/>
  <c r="CN43" i="54"/>
  <c r="AO43" i="54"/>
  <c r="CI18" i="54"/>
  <c r="CK20" i="54"/>
  <c r="L23" i="54"/>
  <c r="BK23" i="54"/>
  <c r="AO38" i="54"/>
  <c r="CI39" i="54"/>
  <c r="BI40" i="54"/>
  <c r="CC49" i="54"/>
  <c r="CI53" i="54"/>
  <c r="CI60" i="54"/>
  <c r="CC60" i="54"/>
  <c r="CN63" i="54"/>
  <c r="U63" i="54"/>
  <c r="K70" i="54"/>
  <c r="CJ70" i="54"/>
  <c r="AE70" i="54"/>
  <c r="AN70" i="54"/>
  <c r="T20" i="54"/>
  <c r="AE20" i="54"/>
  <c r="CI21" i="54"/>
  <c r="CI37" i="54"/>
  <c r="CN53" i="54"/>
  <c r="BS66" i="54"/>
  <c r="BI76" i="54"/>
  <c r="CI16" i="54"/>
  <c r="AN20" i="54"/>
  <c r="CN37" i="54"/>
  <c r="U37" i="54"/>
  <c r="CI46" i="54"/>
  <c r="CI52" i="54"/>
  <c r="CC52" i="54"/>
  <c r="CN55" i="54"/>
  <c r="U55" i="54"/>
  <c r="U60" i="54"/>
  <c r="CI62" i="54"/>
  <c r="CK70" i="54"/>
  <c r="AY70" i="54"/>
  <c r="BH70" i="54"/>
  <c r="BS70" i="54"/>
  <c r="CB70" i="54"/>
  <c r="CE70" i="54"/>
  <c r="BI37" i="54"/>
  <c r="AO54" i="54"/>
  <c r="G23" i="54"/>
  <c r="CI36" i="54"/>
  <c r="CC36" i="54"/>
  <c r="CN39" i="54"/>
  <c r="U39" i="54"/>
  <c r="CN42" i="54"/>
  <c r="CI50" i="54"/>
  <c r="CN52" i="54"/>
  <c r="BI61" i="54"/>
  <c r="CP70" i="54"/>
  <c r="CF70" i="54"/>
  <c r="CN36" i="54"/>
  <c r="CI48" i="54"/>
  <c r="CI54" i="54"/>
  <c r="CQ70" i="54"/>
  <c r="CG70" i="54"/>
  <c r="CL70" i="54"/>
  <c r="CN83" i="54"/>
  <c r="AO83" i="54"/>
  <c r="CS83" i="54" s="1"/>
  <c r="CN38" i="54"/>
  <c r="CN54" i="54"/>
  <c r="CN62" i="54"/>
  <c r="CO70" i="54"/>
  <c r="CS80" i="54"/>
  <c r="CI56" i="54"/>
  <c r="CI64" i="54"/>
  <c r="CI85" i="54"/>
  <c r="U53" i="54"/>
  <c r="U61" i="54"/>
  <c r="CC76" i="54"/>
  <c r="CI77" i="54"/>
  <c r="CI78" i="54"/>
  <c r="CS85" i="54"/>
  <c r="T70" i="54"/>
  <c r="CN78" i="54"/>
  <c r="BI82" i="54"/>
  <c r="CS82" i="54" s="1"/>
  <c r="CN82" i="54"/>
  <c r="CI83" i="54"/>
  <c r="CN84" i="54"/>
  <c r="U84" i="54"/>
  <c r="CC84" i="54"/>
  <c r="K66" i="54"/>
  <c r="AO76" i="54"/>
  <c r="CN76" i="54"/>
  <c r="CI82" i="54"/>
  <c r="CS26" i="53"/>
  <c r="BS23" i="53"/>
  <c r="CN61" i="53"/>
  <c r="U61" i="53"/>
  <c r="CF14" i="53"/>
  <c r="U16" i="53"/>
  <c r="CG20" i="53"/>
  <c r="CO20" i="53"/>
  <c r="CI22" i="53"/>
  <c r="P23" i="53"/>
  <c r="Y23" i="53"/>
  <c r="U25" i="53"/>
  <c r="U28" i="53"/>
  <c r="CS28" i="53" s="1"/>
  <c r="CM70" i="53"/>
  <c r="CN37" i="53"/>
  <c r="U37" i="53"/>
  <c r="BH20" i="53"/>
  <c r="CH20" i="53"/>
  <c r="CP20" i="53"/>
  <c r="AY23" i="53"/>
  <c r="CI26" i="53"/>
  <c r="CN27" i="53"/>
  <c r="CI17" i="53"/>
  <c r="K20" i="53"/>
  <c r="R23" i="53"/>
  <c r="CC53" i="53"/>
  <c r="AE70" i="53"/>
  <c r="AN70" i="53"/>
  <c r="AY70" i="53"/>
  <c r="BH70" i="53"/>
  <c r="T20" i="53"/>
  <c r="BS20" i="53"/>
  <c r="CJ20" i="53"/>
  <c r="C23" i="53"/>
  <c r="CN51" i="53"/>
  <c r="CI53" i="53"/>
  <c r="CI55" i="53"/>
  <c r="BS70" i="53"/>
  <c r="CB70" i="53"/>
  <c r="CH70" i="53"/>
  <c r="CI18" i="53"/>
  <c r="CK20" i="53"/>
  <c r="CI40" i="53"/>
  <c r="AE66" i="53"/>
  <c r="CN53" i="53"/>
  <c r="U53" i="53"/>
  <c r="BI54" i="53"/>
  <c r="CK70" i="53"/>
  <c r="CP70" i="53"/>
  <c r="AE20" i="53"/>
  <c r="AO55" i="53"/>
  <c r="CN36" i="53"/>
  <c r="CN52" i="53"/>
  <c r="CN60" i="53"/>
  <c r="K70" i="53"/>
  <c r="CQ70" i="53"/>
  <c r="BI76" i="53"/>
  <c r="CS77" i="53"/>
  <c r="CI83" i="53"/>
  <c r="CN39" i="53"/>
  <c r="CN55" i="53"/>
  <c r="U56" i="53"/>
  <c r="CN63" i="53"/>
  <c r="U64" i="53"/>
  <c r="T70" i="53"/>
  <c r="CR70" i="53"/>
  <c r="CN83" i="53"/>
  <c r="U83" i="53"/>
  <c r="CS83" i="53" s="1"/>
  <c r="CN42" i="53"/>
  <c r="CI49" i="53"/>
  <c r="CN50" i="53"/>
  <c r="CI57" i="53"/>
  <c r="K66" i="53"/>
  <c r="CI78" i="53"/>
  <c r="CN80" i="53"/>
  <c r="U38" i="53"/>
  <c r="U46" i="53"/>
  <c r="U54" i="53"/>
  <c r="U62" i="53"/>
  <c r="CL70" i="53"/>
  <c r="CI76" i="53"/>
  <c r="CC76" i="53"/>
  <c r="CS82" i="53"/>
  <c r="CE70" i="53"/>
  <c r="U76" i="53"/>
  <c r="CS78" i="53"/>
  <c r="CI84" i="53"/>
  <c r="CO70" i="53"/>
  <c r="CS84" i="53"/>
  <c r="CN82" i="53"/>
  <c r="CN77" i="53"/>
  <c r="CI85" i="53"/>
  <c r="AO76" i="53"/>
  <c r="Z25" i="28"/>
  <c r="Y25" i="28"/>
  <c r="X25" i="28"/>
  <c r="W25" i="28"/>
  <c r="V25" i="28"/>
  <c r="AI24" i="28"/>
  <c r="AH24" i="28"/>
  <c r="AG24" i="28"/>
  <c r="AF24" i="28"/>
  <c r="Z24" i="28"/>
  <c r="Y24" i="28"/>
  <c r="X24" i="28"/>
  <c r="W24" i="28"/>
  <c r="V24" i="28"/>
  <c r="Z23" i="28"/>
  <c r="Y23" i="28"/>
  <c r="X23" i="28"/>
  <c r="W23" i="28"/>
  <c r="V23" i="28"/>
  <c r="Z22" i="28"/>
  <c r="Y22" i="28"/>
  <c r="X22" i="28"/>
  <c r="W22" i="28"/>
  <c r="V22" i="28"/>
  <c r="Z21" i="28"/>
  <c r="Y21" i="28"/>
  <c r="X21" i="28"/>
  <c r="W21" i="28"/>
  <c r="V21" i="28"/>
  <c r="K25" i="28"/>
  <c r="K24" i="28"/>
  <c r="AJ24" i="28" s="1"/>
  <c r="K23" i="28"/>
  <c r="K22" i="28"/>
  <c r="K21" i="28"/>
  <c r="CH66" i="54" l="1"/>
  <c r="CF66" i="54"/>
  <c r="CS21" i="53"/>
  <c r="AE20" i="36"/>
  <c r="CG66" i="53"/>
  <c r="AA23" i="36"/>
  <c r="AE23" i="36" s="1"/>
  <c r="AY20" i="36"/>
  <c r="BS20" i="36"/>
  <c r="CC20" i="53"/>
  <c r="CE66" i="54"/>
  <c r="BH14" i="53"/>
  <c r="BI14" i="53" s="1"/>
  <c r="BI20" i="53"/>
  <c r="CN66" i="54"/>
  <c r="CI44" i="53"/>
  <c r="AO20" i="53"/>
  <c r="CF66" i="53"/>
  <c r="CS17" i="54"/>
  <c r="CN66" i="53"/>
  <c r="CI45" i="53"/>
  <c r="CS64" i="54"/>
  <c r="AY66" i="53"/>
  <c r="BI20" i="54"/>
  <c r="CG14" i="53"/>
  <c r="CO14" i="53"/>
  <c r="CE14" i="53"/>
  <c r="CE14" i="54"/>
  <c r="CS56" i="53"/>
  <c r="CH66" i="53"/>
  <c r="AY66" i="54"/>
  <c r="CI66" i="54" s="1"/>
  <c r="CI44" i="54"/>
  <c r="CS64" i="53"/>
  <c r="CS62" i="54"/>
  <c r="CS57" i="53"/>
  <c r="CS39" i="53"/>
  <c r="CE66" i="53"/>
  <c r="BI19" i="36"/>
  <c r="T14" i="53"/>
  <c r="CR14" i="53"/>
  <c r="CK14" i="53"/>
  <c r="AO19" i="36"/>
  <c r="CS19" i="53"/>
  <c r="CS16" i="54"/>
  <c r="BS66" i="53"/>
  <c r="CS55" i="54"/>
  <c r="CS63" i="54"/>
  <c r="CS35" i="54"/>
  <c r="CS36" i="53"/>
  <c r="CS48" i="54"/>
  <c r="CB20" i="36"/>
  <c r="CL14" i="53"/>
  <c r="CH14" i="53"/>
  <c r="AY14" i="53"/>
  <c r="BI18" i="36"/>
  <c r="CS40" i="54"/>
  <c r="CS50" i="54"/>
  <c r="K14" i="53"/>
  <c r="CI14" i="53" s="1"/>
  <c r="CS46" i="53"/>
  <c r="CS38" i="53"/>
  <c r="CS52" i="54"/>
  <c r="CS41" i="53"/>
  <c r="CS50" i="53"/>
  <c r="CC20" i="54"/>
  <c r="CS17" i="53"/>
  <c r="CS18" i="53"/>
  <c r="CS58" i="54"/>
  <c r="CS51" i="54"/>
  <c r="CN20" i="53"/>
  <c r="CS39" i="54"/>
  <c r="CS43" i="54"/>
  <c r="CS42" i="53"/>
  <c r="CS49" i="53"/>
  <c r="CS58" i="53"/>
  <c r="CS61" i="53"/>
  <c r="CS36" i="54"/>
  <c r="CS57" i="54"/>
  <c r="CS51" i="53"/>
  <c r="CS48" i="53"/>
  <c r="CG14" i="54"/>
  <c r="L41" i="39"/>
  <c r="CS26" i="54"/>
  <c r="CS37" i="54"/>
  <c r="CS56" i="54"/>
  <c r="CS59" i="54"/>
  <c r="CS21" i="54"/>
  <c r="CS19" i="54"/>
  <c r="AR23" i="36"/>
  <c r="AY23" i="36" s="1"/>
  <c r="CS78" i="54"/>
  <c r="AO27" i="36"/>
  <c r="CS27" i="54"/>
  <c r="CS28" i="54"/>
  <c r="CS77" i="54"/>
  <c r="CS42" i="54"/>
  <c r="CS53" i="54"/>
  <c r="CS41" i="54"/>
  <c r="CS18" i="54"/>
  <c r="CS80" i="53"/>
  <c r="CC18" i="36"/>
  <c r="CS62" i="53"/>
  <c r="CS60" i="53"/>
  <c r="BI27" i="36"/>
  <c r="CS40" i="53"/>
  <c r="AO25" i="36"/>
  <c r="CS27" i="53"/>
  <c r="CS35" i="53"/>
  <c r="CS63" i="53"/>
  <c r="CG23" i="53"/>
  <c r="CH23" i="53"/>
  <c r="BI28" i="36"/>
  <c r="AO28" i="36"/>
  <c r="AO26" i="36"/>
  <c r="AO16" i="36"/>
  <c r="CQ14" i="53"/>
  <c r="T14" i="54"/>
  <c r="U14" i="54" s="1"/>
  <c r="CS14" i="54" s="1"/>
  <c r="K14" i="54"/>
  <c r="CI14" i="54" s="1"/>
  <c r="CQ14" i="54"/>
  <c r="CS54" i="53"/>
  <c r="CS16" i="53"/>
  <c r="BI17" i="36"/>
  <c r="CS55" i="53"/>
  <c r="CS37" i="53"/>
  <c r="BI70" i="53"/>
  <c r="CS61" i="54"/>
  <c r="BI70" i="54"/>
  <c r="AO20" i="54"/>
  <c r="AO70" i="54"/>
  <c r="BH20" i="36"/>
  <c r="CS59" i="53"/>
  <c r="CF23" i="53"/>
  <c r="CS84" i="54"/>
  <c r="CS54" i="54"/>
  <c r="CS49" i="54"/>
  <c r="CS38" i="54"/>
  <c r="CS52" i="53"/>
  <c r="CS43" i="53"/>
  <c r="AO18" i="36"/>
  <c r="BI26" i="36"/>
  <c r="BI25" i="36"/>
  <c r="CC19" i="36"/>
  <c r="BS23" i="36"/>
  <c r="AO21" i="36"/>
  <c r="BI16" i="36"/>
  <c r="AN20" i="36"/>
  <c r="BI21" i="36"/>
  <c r="CC16" i="36"/>
  <c r="CC17" i="36"/>
  <c r="AO17" i="36"/>
  <c r="U70" i="54"/>
  <c r="CN70" i="54"/>
  <c r="U20" i="54"/>
  <c r="CI20" i="54"/>
  <c r="CN20" i="54"/>
  <c r="CS76" i="54"/>
  <c r="CE23" i="54"/>
  <c r="K23" i="54"/>
  <c r="CI70" i="54"/>
  <c r="BS23" i="54"/>
  <c r="CG23" i="54"/>
  <c r="CC70" i="54"/>
  <c r="CS60" i="54"/>
  <c r="CE23" i="53"/>
  <c r="K23" i="53"/>
  <c r="AE23" i="53"/>
  <c r="CN70" i="53"/>
  <c r="U70" i="53"/>
  <c r="CI70" i="53"/>
  <c r="CS53" i="53"/>
  <c r="CS76" i="53"/>
  <c r="CC70" i="53"/>
  <c r="AO70" i="53"/>
  <c r="U20" i="53"/>
  <c r="CI20" i="53"/>
  <c r="CR85" i="37"/>
  <c r="CQ85" i="37"/>
  <c r="CP85" i="37"/>
  <c r="CO85" i="37"/>
  <c r="CM85" i="37"/>
  <c r="CL85" i="37"/>
  <c r="CK85" i="37"/>
  <c r="CJ85" i="37"/>
  <c r="CH85" i="37"/>
  <c r="CG85" i="37"/>
  <c r="CF85" i="37"/>
  <c r="CE85" i="37"/>
  <c r="CR84" i="37"/>
  <c r="CQ84" i="37"/>
  <c r="CP84" i="37"/>
  <c r="CO84" i="37"/>
  <c r="CM84" i="37"/>
  <c r="CL84" i="37"/>
  <c r="CK84" i="37"/>
  <c r="CJ84" i="37"/>
  <c r="CH84" i="37"/>
  <c r="CG84" i="37"/>
  <c r="CF84" i="37"/>
  <c r="CE84" i="37"/>
  <c r="CR83" i="37"/>
  <c r="CQ83" i="37"/>
  <c r="CP83" i="37"/>
  <c r="CO83" i="37"/>
  <c r="CM83" i="37"/>
  <c r="CL83" i="37"/>
  <c r="CK83" i="37"/>
  <c r="CJ83" i="37"/>
  <c r="CH83" i="37"/>
  <c r="CG83" i="37"/>
  <c r="CF83" i="37"/>
  <c r="CE83" i="37"/>
  <c r="CR82" i="37"/>
  <c r="CQ82" i="37"/>
  <c r="CP82" i="37"/>
  <c r="CO82" i="37"/>
  <c r="CM82" i="37"/>
  <c r="CL82" i="37"/>
  <c r="CK82" i="37"/>
  <c r="CJ82" i="37"/>
  <c r="CH82" i="37"/>
  <c r="CG82" i="37"/>
  <c r="CF82" i="37"/>
  <c r="CE82" i="37"/>
  <c r="CR80" i="37"/>
  <c r="CQ80" i="37"/>
  <c r="CP80" i="37"/>
  <c r="CO80" i="37"/>
  <c r="CM80" i="37"/>
  <c r="CL80" i="37"/>
  <c r="CK80" i="37"/>
  <c r="CJ80" i="37"/>
  <c r="CH80" i="37"/>
  <c r="CG80" i="37"/>
  <c r="CF80" i="37"/>
  <c r="CE80" i="37"/>
  <c r="CR78" i="37"/>
  <c r="CQ78" i="37"/>
  <c r="CP78" i="37"/>
  <c r="CO78" i="37"/>
  <c r="CM78" i="37"/>
  <c r="CL78" i="37"/>
  <c r="CK78" i="37"/>
  <c r="CJ78" i="37"/>
  <c r="CH78" i="37"/>
  <c r="CG78" i="37"/>
  <c r="CF78" i="37"/>
  <c r="CE78" i="37"/>
  <c r="CR77" i="37"/>
  <c r="CQ77" i="37"/>
  <c r="CP77" i="37"/>
  <c r="CO77" i="37"/>
  <c r="CM77" i="37"/>
  <c r="CL77" i="37"/>
  <c r="CK77" i="37"/>
  <c r="CJ77" i="37"/>
  <c r="CH77" i="37"/>
  <c r="CG77" i="37"/>
  <c r="CF77" i="37"/>
  <c r="CE77" i="37"/>
  <c r="CR76" i="37"/>
  <c r="CQ76" i="37"/>
  <c r="CP76" i="37"/>
  <c r="CO76" i="37"/>
  <c r="CM76" i="37"/>
  <c r="CL76" i="37"/>
  <c r="CK76" i="37"/>
  <c r="CJ76" i="37"/>
  <c r="CH76" i="37"/>
  <c r="CG76" i="37"/>
  <c r="CF76" i="37"/>
  <c r="CE76" i="37"/>
  <c r="CR64" i="37"/>
  <c r="CQ64" i="37"/>
  <c r="CP64" i="37"/>
  <c r="CO64" i="37"/>
  <c r="CM64" i="37"/>
  <c r="CL64" i="37"/>
  <c r="CK64" i="37"/>
  <c r="CJ64" i="37"/>
  <c r="CH64" i="37"/>
  <c r="CG64" i="37"/>
  <c r="CF64" i="37"/>
  <c r="CE64" i="37"/>
  <c r="CR63" i="37"/>
  <c r="CQ63" i="37"/>
  <c r="CP63" i="37"/>
  <c r="CO63" i="37"/>
  <c r="CM63" i="37"/>
  <c r="CL63" i="37"/>
  <c r="CK63" i="37"/>
  <c r="CJ63" i="37"/>
  <c r="CH63" i="37"/>
  <c r="CG63" i="37"/>
  <c r="CF63" i="37"/>
  <c r="CE63" i="37"/>
  <c r="CR62" i="37"/>
  <c r="CQ62" i="37"/>
  <c r="CP62" i="37"/>
  <c r="CO62" i="37"/>
  <c r="CM62" i="37"/>
  <c r="CL62" i="37"/>
  <c r="CK62" i="37"/>
  <c r="CJ62" i="37"/>
  <c r="CH62" i="37"/>
  <c r="CG62" i="37"/>
  <c r="CF62" i="37"/>
  <c r="CE62" i="37"/>
  <c r="CR61" i="37"/>
  <c r="CQ61" i="37"/>
  <c r="CP61" i="37"/>
  <c r="CO61" i="37"/>
  <c r="CM61" i="37"/>
  <c r="CL61" i="37"/>
  <c r="CK61" i="37"/>
  <c r="CJ61" i="37"/>
  <c r="CH61" i="37"/>
  <c r="CG61" i="37"/>
  <c r="CF61" i="37"/>
  <c r="CE61" i="37"/>
  <c r="CR60" i="37"/>
  <c r="CQ60" i="37"/>
  <c r="CP60" i="37"/>
  <c r="CO60" i="37"/>
  <c r="CM60" i="37"/>
  <c r="CL60" i="37"/>
  <c r="CK60" i="37"/>
  <c r="CJ60" i="37"/>
  <c r="CH60" i="37"/>
  <c r="CG60" i="37"/>
  <c r="CF60" i="37"/>
  <c r="CE60" i="37"/>
  <c r="CR59" i="37"/>
  <c r="CQ59" i="37"/>
  <c r="CP59" i="37"/>
  <c r="CO59" i="37"/>
  <c r="CM59" i="37"/>
  <c r="CL59" i="37"/>
  <c r="CK59" i="37"/>
  <c r="CJ59" i="37"/>
  <c r="CH59" i="37"/>
  <c r="CG59" i="37"/>
  <c r="CF59" i="37"/>
  <c r="CE59" i="37"/>
  <c r="CR58" i="37"/>
  <c r="CQ58" i="37"/>
  <c r="CP58" i="37"/>
  <c r="CO58" i="37"/>
  <c r="CM58" i="37"/>
  <c r="CL58" i="37"/>
  <c r="CK58" i="37"/>
  <c r="CJ58" i="37"/>
  <c r="CH58" i="37"/>
  <c r="CG58" i="37"/>
  <c r="CF58" i="37"/>
  <c r="CE58" i="37"/>
  <c r="CR57" i="37"/>
  <c r="CQ57" i="37"/>
  <c r="CP57" i="37"/>
  <c r="CO57" i="37"/>
  <c r="CM57" i="37"/>
  <c r="CL57" i="37"/>
  <c r="CK57" i="37"/>
  <c r="CJ57" i="37"/>
  <c r="CH57" i="37"/>
  <c r="CG57" i="37"/>
  <c r="CF57" i="37"/>
  <c r="CE57" i="37"/>
  <c r="CR56" i="37"/>
  <c r="CQ56" i="37"/>
  <c r="CP56" i="37"/>
  <c r="CO56" i="37"/>
  <c r="CM56" i="37"/>
  <c r="CL56" i="37"/>
  <c r="CK56" i="37"/>
  <c r="CJ56" i="37"/>
  <c r="CH56" i="37"/>
  <c r="CG56" i="37"/>
  <c r="CF56" i="37"/>
  <c r="CE56" i="37"/>
  <c r="CR55" i="37"/>
  <c r="CQ55" i="37"/>
  <c r="CP55" i="37"/>
  <c r="CO55" i="37"/>
  <c r="CM55" i="37"/>
  <c r="CL55" i="37"/>
  <c r="CK55" i="37"/>
  <c r="CJ55" i="37"/>
  <c r="CH55" i="37"/>
  <c r="CG55" i="37"/>
  <c r="CF55" i="37"/>
  <c r="CE55" i="37"/>
  <c r="CR54" i="37"/>
  <c r="CQ54" i="37"/>
  <c r="CP54" i="37"/>
  <c r="CO54" i="37"/>
  <c r="CM54" i="37"/>
  <c r="CL54" i="37"/>
  <c r="CK54" i="37"/>
  <c r="CJ54" i="37"/>
  <c r="CH54" i="37"/>
  <c r="CG54" i="37"/>
  <c r="CF54" i="37"/>
  <c r="CE54" i="37"/>
  <c r="CR53" i="37"/>
  <c r="CQ53" i="37"/>
  <c r="CP53" i="37"/>
  <c r="CO53" i="37"/>
  <c r="CM53" i="37"/>
  <c r="CL53" i="37"/>
  <c r="CK53" i="37"/>
  <c r="CJ53" i="37"/>
  <c r="CH53" i="37"/>
  <c r="CG53" i="37"/>
  <c r="CF53" i="37"/>
  <c r="CE53" i="37"/>
  <c r="CR52" i="37"/>
  <c r="CQ52" i="37"/>
  <c r="CP52" i="37"/>
  <c r="CO52" i="37"/>
  <c r="CM52" i="37"/>
  <c r="CL52" i="37"/>
  <c r="CK52" i="37"/>
  <c r="CJ52" i="37"/>
  <c r="CH52" i="37"/>
  <c r="CG52" i="37"/>
  <c r="CF52" i="37"/>
  <c r="CE52" i="37"/>
  <c r="CR51" i="37"/>
  <c r="CQ51" i="37"/>
  <c r="CP51" i="37"/>
  <c r="CO51" i="37"/>
  <c r="CM51" i="37"/>
  <c r="CL51" i="37"/>
  <c r="CK51" i="37"/>
  <c r="CJ51" i="37"/>
  <c r="CH51" i="37"/>
  <c r="CG51" i="37"/>
  <c r="CF51" i="37"/>
  <c r="CE51" i="37"/>
  <c r="CR50" i="37"/>
  <c r="CQ50" i="37"/>
  <c r="CP50" i="37"/>
  <c r="CO50" i="37"/>
  <c r="CM50" i="37"/>
  <c r="CL50" i="37"/>
  <c r="CK50" i="37"/>
  <c r="CJ50" i="37"/>
  <c r="CH50" i="37"/>
  <c r="CG50" i="37"/>
  <c r="CF50" i="37"/>
  <c r="CE50" i="37"/>
  <c r="CR49" i="37"/>
  <c r="CQ49" i="37"/>
  <c r="CP49" i="37"/>
  <c r="CO49" i="37"/>
  <c r="CM49" i="37"/>
  <c r="CL49" i="37"/>
  <c r="CK49" i="37"/>
  <c r="CJ49" i="37"/>
  <c r="CH49" i="37"/>
  <c r="CG49" i="37"/>
  <c r="CF49" i="37"/>
  <c r="CE49" i="37"/>
  <c r="CR48" i="37"/>
  <c r="CQ48" i="37"/>
  <c r="CP48" i="37"/>
  <c r="CO48" i="37"/>
  <c r="CM48" i="37"/>
  <c r="CL48" i="37"/>
  <c r="CK48" i="37"/>
  <c r="CJ48" i="37"/>
  <c r="CH48" i="37"/>
  <c r="CG48" i="37"/>
  <c r="CF48" i="37"/>
  <c r="CE48" i="37"/>
  <c r="CK46" i="37"/>
  <c r="CJ46" i="37"/>
  <c r="CR43" i="37"/>
  <c r="CQ43" i="37"/>
  <c r="CP43" i="37"/>
  <c r="CO43" i="37"/>
  <c r="CM43" i="37"/>
  <c r="CL43" i="37"/>
  <c r="CK43" i="37"/>
  <c r="CJ43" i="37"/>
  <c r="CH43" i="37"/>
  <c r="CG43" i="37"/>
  <c r="CF43" i="37"/>
  <c r="CE43" i="37"/>
  <c r="CR42" i="37"/>
  <c r="CQ42" i="37"/>
  <c r="CP42" i="37"/>
  <c r="CO42" i="37"/>
  <c r="CM42" i="37"/>
  <c r="CL42" i="37"/>
  <c r="CK42" i="37"/>
  <c r="CJ42" i="37"/>
  <c r="CH42" i="37"/>
  <c r="CG42" i="37"/>
  <c r="CF42" i="37"/>
  <c r="CE42" i="37"/>
  <c r="CR41" i="37"/>
  <c r="CQ41" i="37"/>
  <c r="CP41" i="37"/>
  <c r="CO41" i="37"/>
  <c r="CM41" i="37"/>
  <c r="CL41" i="37"/>
  <c r="CK41" i="37"/>
  <c r="CJ41" i="37"/>
  <c r="CH41" i="37"/>
  <c r="CG41" i="37"/>
  <c r="CF41" i="37"/>
  <c r="CE41" i="37"/>
  <c r="CR40" i="37"/>
  <c r="CQ40" i="37"/>
  <c r="CP40" i="37"/>
  <c r="CO40" i="37"/>
  <c r="CM40" i="37"/>
  <c r="CL40" i="37"/>
  <c r="CK40" i="37"/>
  <c r="CJ40" i="37"/>
  <c r="CH40" i="37"/>
  <c r="CG40" i="37"/>
  <c r="CF40" i="37"/>
  <c r="CE40" i="37"/>
  <c r="CR39" i="37"/>
  <c r="CQ39" i="37"/>
  <c r="CP39" i="37"/>
  <c r="CO39" i="37"/>
  <c r="CM39" i="37"/>
  <c r="CL39" i="37"/>
  <c r="CK39" i="37"/>
  <c r="CJ39" i="37"/>
  <c r="CH39" i="37"/>
  <c r="CG39" i="37"/>
  <c r="CF39" i="37"/>
  <c r="CE39" i="37"/>
  <c r="CR38" i="37"/>
  <c r="CQ38" i="37"/>
  <c r="CP38" i="37"/>
  <c r="CO38" i="37"/>
  <c r="CM38" i="37"/>
  <c r="CL38" i="37"/>
  <c r="CK38" i="37"/>
  <c r="CJ38" i="37"/>
  <c r="CH38" i="37"/>
  <c r="CG38" i="37"/>
  <c r="CF38" i="37"/>
  <c r="CE38" i="37"/>
  <c r="CR37" i="37"/>
  <c r="CQ37" i="37"/>
  <c r="CP37" i="37"/>
  <c r="CO37" i="37"/>
  <c r="CM37" i="37"/>
  <c r="CL37" i="37"/>
  <c r="CK37" i="37"/>
  <c r="CJ37" i="37"/>
  <c r="CH37" i="37"/>
  <c r="CG37" i="37"/>
  <c r="CF37" i="37"/>
  <c r="CE37" i="37"/>
  <c r="CR36" i="37"/>
  <c r="CQ36" i="37"/>
  <c r="CP36" i="37"/>
  <c r="CO36" i="37"/>
  <c r="CM36" i="37"/>
  <c r="CL36" i="37"/>
  <c r="CK36" i="37"/>
  <c r="CJ36" i="37"/>
  <c r="CH36" i="37"/>
  <c r="CG36" i="37"/>
  <c r="CF36" i="37"/>
  <c r="CE36" i="37"/>
  <c r="CR35" i="37"/>
  <c r="CQ35" i="37"/>
  <c r="CP35" i="37"/>
  <c r="CO35" i="37"/>
  <c r="CM35" i="37"/>
  <c r="CL35" i="37"/>
  <c r="CK35" i="37"/>
  <c r="CJ35" i="37"/>
  <c r="CH35" i="37"/>
  <c r="CG35" i="37"/>
  <c r="CF35" i="37"/>
  <c r="CE35" i="37"/>
  <c r="CR28" i="37"/>
  <c r="CQ28" i="37"/>
  <c r="CP28" i="37"/>
  <c r="CO28" i="37"/>
  <c r="CM28" i="37"/>
  <c r="CL28" i="37"/>
  <c r="CK28" i="37"/>
  <c r="CJ28" i="37"/>
  <c r="CH28" i="37"/>
  <c r="CG28" i="37"/>
  <c r="CF28" i="37"/>
  <c r="CE28" i="37"/>
  <c r="CR27" i="37"/>
  <c r="CQ27" i="37"/>
  <c r="CP27" i="37"/>
  <c r="CO27" i="37"/>
  <c r="CM27" i="37"/>
  <c r="CL27" i="37"/>
  <c r="CK27" i="37"/>
  <c r="CJ27" i="37"/>
  <c r="CH27" i="37"/>
  <c r="CG27" i="37"/>
  <c r="CF27" i="37"/>
  <c r="CE27" i="37"/>
  <c r="CR26" i="37"/>
  <c r="CQ26" i="37"/>
  <c r="CP26" i="37"/>
  <c r="CO26" i="37"/>
  <c r="CM26" i="37"/>
  <c r="CL26" i="37"/>
  <c r="CK26" i="37"/>
  <c r="CJ26" i="37"/>
  <c r="CH26" i="37"/>
  <c r="CG26" i="37"/>
  <c r="CF26" i="37"/>
  <c r="CE26" i="37"/>
  <c r="CM25" i="37"/>
  <c r="CL25" i="37"/>
  <c r="CK25" i="37"/>
  <c r="CJ25" i="37"/>
  <c r="CH22" i="37"/>
  <c r="CG22" i="37"/>
  <c r="CF22" i="37"/>
  <c r="CE22" i="37"/>
  <c r="CR21" i="37"/>
  <c r="CQ21" i="37"/>
  <c r="CP21" i="37"/>
  <c r="CO21" i="37"/>
  <c r="CM21" i="37"/>
  <c r="CL21" i="37"/>
  <c r="CK21" i="37"/>
  <c r="CJ21" i="37"/>
  <c r="CH21" i="37"/>
  <c r="CG21" i="37"/>
  <c r="CF21" i="37"/>
  <c r="CE21" i="37"/>
  <c r="CR19" i="37"/>
  <c r="CQ19" i="37"/>
  <c r="CP19" i="37"/>
  <c r="CO19" i="37"/>
  <c r="CM19" i="37"/>
  <c r="CL19" i="37"/>
  <c r="CK19" i="37"/>
  <c r="CJ19" i="37"/>
  <c r="CH19" i="37"/>
  <c r="CG19" i="37"/>
  <c r="CF19" i="37"/>
  <c r="CE19" i="37"/>
  <c r="CR18" i="37"/>
  <c r="CQ18" i="37"/>
  <c r="CP18" i="37"/>
  <c r="CO18" i="37"/>
  <c r="CM18" i="37"/>
  <c r="CL18" i="37"/>
  <c r="CK18" i="37"/>
  <c r="CJ18" i="37"/>
  <c r="CH18" i="37"/>
  <c r="CG18" i="37"/>
  <c r="CF18" i="37"/>
  <c r="CE18" i="37"/>
  <c r="CR17" i="37"/>
  <c r="CQ17" i="37"/>
  <c r="CP17" i="37"/>
  <c r="CO17" i="37"/>
  <c r="CM17" i="37"/>
  <c r="CL17" i="37"/>
  <c r="CK17" i="37"/>
  <c r="CJ17" i="37"/>
  <c r="CH17" i="37"/>
  <c r="CG17" i="37"/>
  <c r="CF17" i="37"/>
  <c r="CE17" i="37"/>
  <c r="CH16" i="37"/>
  <c r="CG16" i="37"/>
  <c r="CF16" i="37"/>
  <c r="CE16" i="37"/>
  <c r="CM16" i="37"/>
  <c r="CL16" i="37"/>
  <c r="CK16" i="37"/>
  <c r="CJ16" i="37"/>
  <c r="CA14" i="37"/>
  <c r="CA14" i="36" s="1"/>
  <c r="BZ14" i="37"/>
  <c r="BZ14" i="36" s="1"/>
  <c r="BY14" i="37"/>
  <c r="BY14" i="36" s="1"/>
  <c r="BX14" i="37"/>
  <c r="BX14" i="36" s="1"/>
  <c r="BW14" i="37"/>
  <c r="BW14" i="36" s="1"/>
  <c r="BV14" i="37"/>
  <c r="BV14" i="36" s="1"/>
  <c r="BU14" i="37"/>
  <c r="BU14" i="36" s="1"/>
  <c r="BT14" i="37"/>
  <c r="BT14" i="36" s="1"/>
  <c r="BR14" i="37"/>
  <c r="BR14" i="36" s="1"/>
  <c r="BQ14" i="37"/>
  <c r="BQ14" i="36" s="1"/>
  <c r="BP14" i="37"/>
  <c r="BP14" i="36" s="1"/>
  <c r="BO14" i="37"/>
  <c r="BO14" i="36" s="1"/>
  <c r="BN14" i="37"/>
  <c r="BN14" i="36" s="1"/>
  <c r="BM14" i="37"/>
  <c r="BM14" i="36" s="1"/>
  <c r="BL14" i="37"/>
  <c r="BL14" i="36" s="1"/>
  <c r="BK14" i="37"/>
  <c r="BK14" i="36" s="1"/>
  <c r="BG14" i="37"/>
  <c r="BG14" i="36" s="1"/>
  <c r="BF14" i="37"/>
  <c r="BF14" i="36" s="1"/>
  <c r="BE14" i="37"/>
  <c r="BE14" i="36" s="1"/>
  <c r="BD14" i="37"/>
  <c r="BD14" i="36" s="1"/>
  <c r="BC14" i="37"/>
  <c r="BC14" i="36" s="1"/>
  <c r="BB14" i="37"/>
  <c r="BB14" i="36" s="1"/>
  <c r="BA14" i="37"/>
  <c r="BA14" i="36" s="1"/>
  <c r="AZ14" i="37"/>
  <c r="AZ14" i="36" s="1"/>
  <c r="AX14" i="37"/>
  <c r="AX14" i="36" s="1"/>
  <c r="AW14" i="37"/>
  <c r="AW14" i="36" s="1"/>
  <c r="AV14" i="37"/>
  <c r="AV14" i="36" s="1"/>
  <c r="AU14" i="37"/>
  <c r="AU14" i="36" s="1"/>
  <c r="AT14" i="37"/>
  <c r="AT14" i="36" s="1"/>
  <c r="AS14" i="37"/>
  <c r="AS14" i="36" s="1"/>
  <c r="AR14" i="37"/>
  <c r="AR14" i="36" s="1"/>
  <c r="AQ14" i="37"/>
  <c r="AQ14" i="36" s="1"/>
  <c r="AM14" i="37"/>
  <c r="AM14" i="36" s="1"/>
  <c r="AL14" i="37"/>
  <c r="AL14" i="36" s="1"/>
  <c r="AK14" i="37"/>
  <c r="AK14" i="36" s="1"/>
  <c r="AJ14" i="37"/>
  <c r="AJ14" i="36" s="1"/>
  <c r="AI14" i="37"/>
  <c r="AI14" i="36" s="1"/>
  <c r="AH14" i="37"/>
  <c r="AH14" i="36" s="1"/>
  <c r="AG14" i="37"/>
  <c r="AG14" i="36" s="1"/>
  <c r="AF14" i="37"/>
  <c r="AF14" i="36" s="1"/>
  <c r="AD14" i="37"/>
  <c r="AD14" i="36" s="1"/>
  <c r="AC14" i="37"/>
  <c r="AC14" i="36" s="1"/>
  <c r="AB14" i="37"/>
  <c r="AB14" i="36" s="1"/>
  <c r="AA14" i="37"/>
  <c r="AA14" i="36" s="1"/>
  <c r="Z14" i="37"/>
  <c r="Z14" i="36" s="1"/>
  <c r="Y14" i="37"/>
  <c r="Y14" i="36" s="1"/>
  <c r="X14" i="37"/>
  <c r="X14" i="36" s="1"/>
  <c r="W14" i="37"/>
  <c r="W14" i="36" s="1"/>
  <c r="S14" i="37"/>
  <c r="S14" i="36" s="1"/>
  <c r="R14" i="37"/>
  <c r="R14" i="36" s="1"/>
  <c r="Q14" i="37"/>
  <c r="Q14" i="36" s="1"/>
  <c r="P14" i="37"/>
  <c r="P14" i="36" s="1"/>
  <c r="O14" i="37"/>
  <c r="O14" i="36" s="1"/>
  <c r="N14" i="37"/>
  <c r="N14" i="36" s="1"/>
  <c r="M14" i="37"/>
  <c r="M14" i="36" s="1"/>
  <c r="L14" i="37"/>
  <c r="L14" i="36" s="1"/>
  <c r="J14" i="37"/>
  <c r="J14" i="36" s="1"/>
  <c r="I14" i="37"/>
  <c r="I14" i="36" s="1"/>
  <c r="H14" i="37"/>
  <c r="H14" i="36" s="1"/>
  <c r="G14" i="37"/>
  <c r="G14" i="36" s="1"/>
  <c r="F14" i="37"/>
  <c r="F14" i="36" s="1"/>
  <c r="E14" i="37"/>
  <c r="E14" i="36" s="1"/>
  <c r="D14" i="37"/>
  <c r="D14" i="36" s="1"/>
  <c r="C14" i="37"/>
  <c r="C14" i="36" s="1"/>
  <c r="BW44" i="40"/>
  <c r="BV44" i="40"/>
  <c r="BU44" i="40"/>
  <c r="BT44" i="40"/>
  <c r="BS44" i="40"/>
  <c r="BP44" i="40"/>
  <c r="BM44" i="40"/>
  <c r="BW43" i="40"/>
  <c r="BV43" i="40"/>
  <c r="BU43" i="40"/>
  <c r="BT43" i="40"/>
  <c r="BS43" i="40"/>
  <c r="BP43" i="40"/>
  <c r="BM43" i="40"/>
  <c r="BW42" i="40"/>
  <c r="BV42" i="40"/>
  <c r="BU42" i="40"/>
  <c r="BT42" i="40"/>
  <c r="BS42" i="40"/>
  <c r="BP42" i="40"/>
  <c r="BO42" i="40"/>
  <c r="BM42" i="40"/>
  <c r="BL42" i="40"/>
  <c r="BW41" i="40"/>
  <c r="BV41" i="40"/>
  <c r="BU41" i="40"/>
  <c r="BT41" i="40"/>
  <c r="BS41" i="40"/>
  <c r="BP41" i="40"/>
  <c r="BO41" i="40"/>
  <c r="BM41" i="40"/>
  <c r="BL41" i="40"/>
  <c r="BW40" i="40"/>
  <c r="BV40" i="40"/>
  <c r="BU40" i="40"/>
  <c r="BT40" i="40"/>
  <c r="BS40" i="40"/>
  <c r="BP40" i="40"/>
  <c r="BO40" i="40"/>
  <c r="BM40" i="40"/>
  <c r="BL40" i="40"/>
  <c r="BW39" i="40"/>
  <c r="BV39" i="40"/>
  <c r="BU39" i="40"/>
  <c r="BT39" i="40"/>
  <c r="BS39" i="40"/>
  <c r="BP39" i="40"/>
  <c r="BO39" i="40"/>
  <c r="BM39" i="40"/>
  <c r="BL39" i="40"/>
  <c r="BW38" i="40"/>
  <c r="BV38" i="40"/>
  <c r="BU38" i="40"/>
  <c r="BT38" i="40"/>
  <c r="BS38" i="40"/>
  <c r="BP38" i="40"/>
  <c r="BO38" i="40"/>
  <c r="BM38" i="40"/>
  <c r="BL38" i="40"/>
  <c r="BW37" i="40"/>
  <c r="BV37" i="40"/>
  <c r="BU37" i="40"/>
  <c r="BT37" i="40"/>
  <c r="BS37" i="40"/>
  <c r="BP37" i="40"/>
  <c r="BO37" i="40"/>
  <c r="BM37" i="40"/>
  <c r="BL37" i="40"/>
  <c r="BW36" i="40"/>
  <c r="BV36" i="40"/>
  <c r="BU36" i="40"/>
  <c r="BT36" i="40"/>
  <c r="BS36" i="40"/>
  <c r="BP36" i="40"/>
  <c r="BO36" i="40"/>
  <c r="BM36" i="40"/>
  <c r="BL36" i="40"/>
  <c r="BW35" i="40"/>
  <c r="BV35" i="40"/>
  <c r="BU35" i="40"/>
  <c r="BT35" i="40"/>
  <c r="BS35" i="40"/>
  <c r="BP35" i="40"/>
  <c r="BO35" i="40"/>
  <c r="BM35" i="40"/>
  <c r="BL35" i="40"/>
  <c r="BW34" i="40"/>
  <c r="BV34" i="40"/>
  <c r="BU34" i="40"/>
  <c r="BT34" i="40"/>
  <c r="BS34" i="40"/>
  <c r="BP34" i="40"/>
  <c r="BO34" i="40"/>
  <c r="BM34" i="40"/>
  <c r="BL34" i="40"/>
  <c r="BW33" i="40"/>
  <c r="BV33" i="40"/>
  <c r="BU33" i="40"/>
  <c r="BT33" i="40"/>
  <c r="BS33" i="40"/>
  <c r="BP33" i="40"/>
  <c r="BO33" i="40"/>
  <c r="BM33" i="40"/>
  <c r="BL33" i="40"/>
  <c r="BW32" i="40"/>
  <c r="BV32" i="40"/>
  <c r="BU32" i="40"/>
  <c r="BT32" i="40"/>
  <c r="BS32" i="40"/>
  <c r="BP32" i="40"/>
  <c r="BO32" i="40"/>
  <c r="BM32" i="40"/>
  <c r="BL32" i="40"/>
  <c r="BW31" i="40"/>
  <c r="BV31" i="40"/>
  <c r="BU31" i="40"/>
  <c r="BT31" i="40"/>
  <c r="BS31" i="40"/>
  <c r="BP31" i="40"/>
  <c r="BO31" i="40"/>
  <c r="BM31" i="40"/>
  <c r="BL31" i="40"/>
  <c r="BW30" i="40"/>
  <c r="BV30" i="40"/>
  <c r="BU30" i="40"/>
  <c r="BT30" i="40"/>
  <c r="BP30" i="40"/>
  <c r="BM30" i="40"/>
  <c r="BW29" i="40"/>
  <c r="BV29" i="40"/>
  <c r="BU29" i="40"/>
  <c r="BT29" i="40"/>
  <c r="BP29" i="40"/>
  <c r="BM29" i="40"/>
  <c r="BW28" i="40"/>
  <c r="BV28" i="40"/>
  <c r="BU28" i="40"/>
  <c r="BT28" i="40"/>
  <c r="BP28" i="40"/>
  <c r="BM28" i="40"/>
  <c r="BW27" i="40"/>
  <c r="BV27" i="40"/>
  <c r="BU27" i="40"/>
  <c r="BT27" i="40"/>
  <c r="BP27" i="40"/>
  <c r="BM27" i="40"/>
  <c r="BW26" i="40"/>
  <c r="BV26" i="40"/>
  <c r="BU26" i="40"/>
  <c r="BT26" i="40"/>
  <c r="BP26" i="40"/>
  <c r="BM26" i="40"/>
  <c r="BW25" i="40"/>
  <c r="BV25" i="40"/>
  <c r="BU25" i="40"/>
  <c r="BT25" i="40"/>
  <c r="BS25" i="40"/>
  <c r="BP25" i="40"/>
  <c r="BO25" i="40"/>
  <c r="BM25" i="40"/>
  <c r="BL25" i="40"/>
  <c r="BW24" i="40"/>
  <c r="BV24" i="40"/>
  <c r="BU24" i="40"/>
  <c r="BT24" i="40"/>
  <c r="BS24" i="40"/>
  <c r="BP24" i="40"/>
  <c r="BO24" i="40"/>
  <c r="BM24" i="40"/>
  <c r="BL24" i="40"/>
  <c r="BW23" i="40"/>
  <c r="BV23" i="40"/>
  <c r="BU23" i="40"/>
  <c r="BT23" i="40"/>
  <c r="BS23" i="40"/>
  <c r="BP23" i="40"/>
  <c r="BO23" i="40"/>
  <c r="BM23" i="40"/>
  <c r="BL23" i="40"/>
  <c r="BW22" i="40"/>
  <c r="BV22" i="40"/>
  <c r="BU22" i="40"/>
  <c r="BT22" i="40"/>
  <c r="BS22" i="40"/>
  <c r="BP22" i="40"/>
  <c r="BO22" i="40"/>
  <c r="BM22" i="40"/>
  <c r="BL22" i="40"/>
  <c r="BW21" i="40"/>
  <c r="BV21" i="40"/>
  <c r="BU21" i="40"/>
  <c r="BT21" i="40"/>
  <c r="BS21" i="40"/>
  <c r="BP21" i="40"/>
  <c r="BO21" i="40"/>
  <c r="BM21" i="40"/>
  <c r="BL21" i="40"/>
  <c r="BW20" i="40"/>
  <c r="BV20" i="40"/>
  <c r="BU20" i="40"/>
  <c r="BT20" i="40"/>
  <c r="BS20" i="40"/>
  <c r="BP20" i="40"/>
  <c r="BO20" i="40"/>
  <c r="BM20" i="40"/>
  <c r="BL20" i="40"/>
  <c r="BW19" i="40"/>
  <c r="BV19" i="40"/>
  <c r="BU19" i="40"/>
  <c r="BT19" i="40"/>
  <c r="BS19" i="40"/>
  <c r="BP19" i="40"/>
  <c r="BO19" i="40"/>
  <c r="BM19" i="40"/>
  <c r="BL19" i="40"/>
  <c r="BW18" i="40"/>
  <c r="BV18" i="40"/>
  <c r="BU18" i="40"/>
  <c r="BT18" i="40"/>
  <c r="BS18" i="40"/>
  <c r="BP18" i="40"/>
  <c r="BO18" i="40"/>
  <c r="BM18" i="40"/>
  <c r="BL18" i="40"/>
  <c r="AO20" i="36" l="1"/>
  <c r="CC20" i="36"/>
  <c r="BI20" i="36"/>
  <c r="CN14" i="53"/>
  <c r="CS20" i="53"/>
  <c r="U14" i="53"/>
  <c r="CS14" i="53" s="1"/>
  <c r="CI66" i="53"/>
  <c r="CN14" i="54"/>
  <c r="CS20" i="54"/>
  <c r="CS70" i="53"/>
  <c r="CS70" i="54"/>
  <c r="CI23" i="54"/>
  <c r="CI23" i="53"/>
  <c r="CF14" i="37"/>
  <c r="AY14" i="37"/>
  <c r="AY14" i="36" s="1"/>
  <c r="BH14" i="37"/>
  <c r="BH14" i="36" s="1"/>
  <c r="CG14" i="37"/>
  <c r="CH14" i="37"/>
  <c r="CP14" i="37"/>
  <c r="CJ14" i="37"/>
  <c r="CK14" i="37"/>
  <c r="CL14" i="37"/>
  <c r="CE14" i="37"/>
  <c r="CM14" i="37"/>
  <c r="BS14" i="37"/>
  <c r="BS14" i="36" s="1"/>
  <c r="CB14" i="37"/>
  <c r="CB14" i="36" s="1"/>
  <c r="T14" i="37"/>
  <c r="T14" i="36" s="1"/>
  <c r="AE14" i="37"/>
  <c r="AE14" i="36" s="1"/>
  <c r="CR14" i="37"/>
  <c r="AN14" i="37"/>
  <c r="AN14" i="36" s="1"/>
  <c r="CO14" i="37"/>
  <c r="CQ14" i="37"/>
  <c r="K14" i="37"/>
  <c r="K14" i="36" s="1"/>
  <c r="D42" i="39"/>
  <c r="BB37" i="40"/>
  <c r="AY37" i="40"/>
  <c r="BB36" i="40"/>
  <c r="AY36" i="40"/>
  <c r="BB35" i="40"/>
  <c r="AY35" i="40"/>
  <c r="BB34" i="40"/>
  <c r="AY34" i="40"/>
  <c r="AM37" i="40"/>
  <c r="AJ37" i="40"/>
  <c r="AM36" i="40"/>
  <c r="AJ36" i="40"/>
  <c r="AM35" i="40"/>
  <c r="AJ35" i="40"/>
  <c r="AM34" i="40"/>
  <c r="AJ34" i="40"/>
  <c r="X37" i="40"/>
  <c r="U37" i="40"/>
  <c r="X36" i="40"/>
  <c r="U36" i="40"/>
  <c r="X35" i="40"/>
  <c r="U35" i="40"/>
  <c r="X34" i="40"/>
  <c r="U34" i="40"/>
  <c r="I37" i="40"/>
  <c r="F37" i="40"/>
  <c r="I36" i="40"/>
  <c r="F36" i="40"/>
  <c r="I35" i="40"/>
  <c r="F35" i="40"/>
  <c r="I34" i="40"/>
  <c r="F34" i="40"/>
  <c r="CM54" i="36"/>
  <c r="CM53" i="36"/>
  <c r="CM52" i="36"/>
  <c r="CM51" i="36"/>
  <c r="CB54" i="37"/>
  <c r="BS54" i="37"/>
  <c r="CB53" i="37"/>
  <c r="BS53" i="37"/>
  <c r="CB52" i="37"/>
  <c r="BS52" i="37"/>
  <c r="CB51" i="37"/>
  <c r="BS51" i="37"/>
  <c r="BH54" i="37"/>
  <c r="AY54" i="37"/>
  <c r="BH53" i="37"/>
  <c r="AY53" i="37"/>
  <c r="BH52" i="37"/>
  <c r="AY52" i="37"/>
  <c r="BH51" i="37"/>
  <c r="AY51" i="37"/>
  <c r="AN54" i="37"/>
  <c r="AE54" i="37"/>
  <c r="AN53" i="37"/>
  <c r="AE53" i="37"/>
  <c r="AN52" i="37"/>
  <c r="AE52" i="37"/>
  <c r="AN51" i="37"/>
  <c r="AE51" i="37"/>
  <c r="T54" i="37"/>
  <c r="K54" i="37"/>
  <c r="T53" i="37"/>
  <c r="K53" i="37"/>
  <c r="T52" i="37"/>
  <c r="K52" i="37"/>
  <c r="T51" i="37"/>
  <c r="K51" i="37"/>
  <c r="U38" i="40"/>
  <c r="X38" i="40"/>
  <c r="BN36" i="40" l="1"/>
  <c r="BQ36" i="40"/>
  <c r="BC36" i="40"/>
  <c r="BI36" i="40" s="1"/>
  <c r="BC35" i="40"/>
  <c r="BI35" i="40" s="1"/>
  <c r="BC37" i="40"/>
  <c r="BI37" i="40" s="1"/>
  <c r="AN35" i="40"/>
  <c r="AT35" i="40" s="1"/>
  <c r="AN37" i="40"/>
  <c r="AT37" i="40" s="1"/>
  <c r="AN34" i="40"/>
  <c r="AT34" i="40" s="1"/>
  <c r="AN36" i="40"/>
  <c r="AT36" i="40" s="1"/>
  <c r="BQ35" i="40"/>
  <c r="Y38" i="40"/>
  <c r="AE38" i="40" s="1"/>
  <c r="Y35" i="40"/>
  <c r="AE35" i="40" s="1"/>
  <c r="Y36" i="40"/>
  <c r="AE36" i="40" s="1"/>
  <c r="Y37" i="40"/>
  <c r="AE37" i="40" s="1"/>
  <c r="Y34" i="40"/>
  <c r="AE34" i="40" s="1"/>
  <c r="U52" i="37"/>
  <c r="AO53" i="37"/>
  <c r="BI52" i="37"/>
  <c r="CC54" i="37"/>
  <c r="CC53" i="37"/>
  <c r="BI51" i="37"/>
  <c r="CN51" i="37"/>
  <c r="AO52" i="37"/>
  <c r="CI53" i="37"/>
  <c r="AO54" i="37"/>
  <c r="CC51" i="37"/>
  <c r="J37" i="40"/>
  <c r="BN37" i="40"/>
  <c r="BC34" i="40"/>
  <c r="BI34" i="40" s="1"/>
  <c r="CI52" i="37"/>
  <c r="U53" i="37"/>
  <c r="CN53" i="37"/>
  <c r="AO51" i="37"/>
  <c r="U54" i="37"/>
  <c r="CN54" i="37"/>
  <c r="U51" i="37"/>
  <c r="BI53" i="37"/>
  <c r="J34" i="40"/>
  <c r="BN34" i="40"/>
  <c r="BQ34" i="40"/>
  <c r="BQ37" i="40"/>
  <c r="CI51" i="37"/>
  <c r="CN52" i="37"/>
  <c r="CI54" i="37"/>
  <c r="BI54" i="37"/>
  <c r="CC52" i="37"/>
  <c r="J35" i="40"/>
  <c r="BN35" i="40"/>
  <c r="J36" i="40"/>
  <c r="CG51" i="36"/>
  <c r="CQ51" i="36"/>
  <c r="N21" i="28" s="1"/>
  <c r="AH21" i="28" s="1"/>
  <c r="CL51" i="36"/>
  <c r="CG52" i="36"/>
  <c r="CQ52" i="36"/>
  <c r="N22" i="28" s="1"/>
  <c r="AH22" i="28" s="1"/>
  <c r="CL52" i="36"/>
  <c r="CQ53" i="36"/>
  <c r="N23" i="28" s="1"/>
  <c r="AH23" i="28" s="1"/>
  <c r="CG53" i="36"/>
  <c r="CL53" i="36"/>
  <c r="CQ54" i="36"/>
  <c r="N24" i="28" s="1"/>
  <c r="CG54" i="36"/>
  <c r="CL54" i="36"/>
  <c r="CH53" i="36"/>
  <c r="CR53" i="36"/>
  <c r="O23" i="28" s="1"/>
  <c r="AI23" i="28" s="1"/>
  <c r="CR54" i="36"/>
  <c r="O24" i="28" s="1"/>
  <c r="CH54" i="36"/>
  <c r="CH52" i="36"/>
  <c r="CR52" i="36"/>
  <c r="O22" i="28" s="1"/>
  <c r="AI22" i="28" s="1"/>
  <c r="CO51" i="36"/>
  <c r="L21" i="28" s="1"/>
  <c r="AF21" i="28" s="1"/>
  <c r="CE51" i="36"/>
  <c r="CJ51" i="36"/>
  <c r="CO52" i="36"/>
  <c r="L22" i="28" s="1"/>
  <c r="AF22" i="28" s="1"/>
  <c r="CE52" i="36"/>
  <c r="CJ52" i="36"/>
  <c r="CO53" i="36"/>
  <c r="L23" i="28" s="1"/>
  <c r="AF23" i="28" s="1"/>
  <c r="CE53" i="36"/>
  <c r="CJ53" i="36"/>
  <c r="CE54" i="36"/>
  <c r="CO54" i="36"/>
  <c r="L24" i="28" s="1"/>
  <c r="CJ54" i="36"/>
  <c r="CR51" i="36"/>
  <c r="CH51" i="36"/>
  <c r="CF51" i="36"/>
  <c r="CP51" i="36"/>
  <c r="M21" i="28" s="1"/>
  <c r="AG21" i="28" s="1"/>
  <c r="CK51" i="36"/>
  <c r="CP52" i="36"/>
  <c r="CF52" i="36"/>
  <c r="CK52" i="36"/>
  <c r="CP53" i="36"/>
  <c r="CF53" i="36"/>
  <c r="CK53" i="36"/>
  <c r="CP54" i="36"/>
  <c r="M24" i="28" s="1"/>
  <c r="CF54" i="36"/>
  <c r="CK54" i="36"/>
  <c r="CI14" i="37"/>
  <c r="BI14" i="37"/>
  <c r="BI14" i="36" s="1"/>
  <c r="CN14" i="37"/>
  <c r="AO14" i="37"/>
  <c r="AO14" i="36" s="1"/>
  <c r="U14" i="37"/>
  <c r="U14" i="36" s="1"/>
  <c r="CC14" i="37"/>
  <c r="CC14" i="36" s="1"/>
  <c r="T51" i="36"/>
  <c r="K52" i="36"/>
  <c r="T52" i="36"/>
  <c r="K53" i="36"/>
  <c r="T53" i="36"/>
  <c r="T54" i="36"/>
  <c r="AE51" i="36"/>
  <c r="AN51" i="36"/>
  <c r="AE52" i="36"/>
  <c r="AN52" i="36"/>
  <c r="AN53" i="36"/>
  <c r="AE54" i="36"/>
  <c r="AN54" i="36"/>
  <c r="AY51" i="36"/>
  <c r="BH51" i="36"/>
  <c r="AY52" i="36"/>
  <c r="BH52" i="36"/>
  <c r="AY53" i="36"/>
  <c r="BH53" i="36"/>
  <c r="AY54" i="36"/>
  <c r="BH54" i="36"/>
  <c r="BS51" i="36"/>
  <c r="CB51" i="36"/>
  <c r="BS52" i="36"/>
  <c r="CB52" i="36"/>
  <c r="BS53" i="36"/>
  <c r="CB53" i="36"/>
  <c r="BS54" i="36"/>
  <c r="CB54" i="36"/>
  <c r="AE53" i="36"/>
  <c r="K54" i="36"/>
  <c r="K51" i="36"/>
  <c r="BH52" i="40"/>
  <c r="BH51" i="40"/>
  <c r="BH50" i="40"/>
  <c r="BH49" i="40"/>
  <c r="BH48" i="40"/>
  <c r="BH47" i="40"/>
  <c r="BH45" i="40"/>
  <c r="AS52" i="40"/>
  <c r="AS51" i="40"/>
  <c r="AS50" i="40"/>
  <c r="AS49" i="40"/>
  <c r="AS48" i="40"/>
  <c r="AS47" i="40"/>
  <c r="AS45" i="40"/>
  <c r="AD52" i="40"/>
  <c r="AD51" i="40"/>
  <c r="AD50" i="40"/>
  <c r="AD49" i="40"/>
  <c r="AD48" i="40"/>
  <c r="AD47" i="40"/>
  <c r="AD45" i="40"/>
  <c r="O52" i="40"/>
  <c r="O51" i="40"/>
  <c r="O50" i="40"/>
  <c r="O49" i="40"/>
  <c r="O48" i="40"/>
  <c r="O47" i="40"/>
  <c r="O45" i="40"/>
  <c r="CS54" i="37" l="1"/>
  <c r="AU34" i="40"/>
  <c r="CS53" i="37"/>
  <c r="AO53" i="36"/>
  <c r="CS52" i="37"/>
  <c r="AU37" i="40"/>
  <c r="CS51" i="37"/>
  <c r="BR36" i="40"/>
  <c r="P36" i="40"/>
  <c r="BX36" i="40" s="1"/>
  <c r="BW45" i="40"/>
  <c r="CC53" i="36"/>
  <c r="P35" i="40"/>
  <c r="BX35" i="40" s="1"/>
  <c r="BR35" i="40"/>
  <c r="BW52" i="40"/>
  <c r="P34" i="40"/>
  <c r="BX34" i="40" s="1"/>
  <c r="BR34" i="40"/>
  <c r="P37" i="40"/>
  <c r="BR37" i="40"/>
  <c r="AF34" i="40"/>
  <c r="BJ36" i="40"/>
  <c r="BI52" i="36"/>
  <c r="AO52" i="36"/>
  <c r="AF35" i="40"/>
  <c r="M22" i="28"/>
  <c r="BJ34" i="40"/>
  <c r="O21" i="28"/>
  <c r="P24" i="28"/>
  <c r="AU36" i="40"/>
  <c r="AF36" i="40"/>
  <c r="M23" i="28"/>
  <c r="CC52" i="36"/>
  <c r="AU35" i="40"/>
  <c r="BJ37" i="40"/>
  <c r="AF37" i="40"/>
  <c r="BJ35" i="40"/>
  <c r="BW49" i="40"/>
  <c r="BW47" i="40"/>
  <c r="BW48" i="40"/>
  <c r="BW51" i="40"/>
  <c r="BW50" i="40"/>
  <c r="CC51" i="36"/>
  <c r="BI51" i="36"/>
  <c r="AO51" i="36"/>
  <c r="U51" i="36"/>
  <c r="CI51" i="36"/>
  <c r="CI53" i="36"/>
  <c r="CN54" i="36"/>
  <c r="CI54" i="36"/>
  <c r="BI53" i="36"/>
  <c r="U52" i="36"/>
  <c r="CN52" i="36"/>
  <c r="CI52" i="36"/>
  <c r="U53" i="36"/>
  <c r="CN53" i="36"/>
  <c r="CN51" i="36"/>
  <c r="CS14" i="37"/>
  <c r="CC54" i="36"/>
  <c r="BI54" i="36"/>
  <c r="AO54" i="36"/>
  <c r="D40" i="39"/>
  <c r="F42" i="39"/>
  <c r="E42" i="39"/>
  <c r="U54" i="36"/>
  <c r="P21" i="28" l="1"/>
  <c r="AJ21" i="28" s="1"/>
  <c r="AI21" i="28"/>
  <c r="Q36" i="40"/>
  <c r="P23" i="28"/>
  <c r="AJ23" i="28" s="1"/>
  <c r="AG23" i="28"/>
  <c r="P22" i="28"/>
  <c r="AJ22" i="28" s="1"/>
  <c r="AG22" i="28"/>
  <c r="Q35" i="40"/>
  <c r="BY35" i="40" s="1"/>
  <c r="BX37" i="40"/>
  <c r="Q37" i="40"/>
  <c r="BY37" i="40" s="1"/>
  <c r="Q34" i="40"/>
  <c r="BY34" i="40" s="1"/>
  <c r="BY36" i="40"/>
  <c r="CS52" i="36"/>
  <c r="CS53" i="36"/>
  <c r="CS54" i="36"/>
  <c r="CS51" i="36"/>
  <c r="F40" i="39"/>
  <c r="G42" i="39"/>
  <c r="E40" i="39"/>
  <c r="CB85" i="37"/>
  <c r="BS85" i="37"/>
  <c r="BH85" i="37"/>
  <c r="BI85" i="37" s="1"/>
  <c r="AY85" i="37"/>
  <c r="AN85" i="37"/>
  <c r="AO85" i="37" s="1"/>
  <c r="AE85" i="37"/>
  <c r="T85" i="37"/>
  <c r="K85" i="37"/>
  <c r="CI85" i="37" s="1"/>
  <c r="CB84" i="37"/>
  <c r="BS84" i="37"/>
  <c r="BH84" i="37"/>
  <c r="AY84" i="37"/>
  <c r="AN84" i="37"/>
  <c r="AE84" i="37"/>
  <c r="AO84" i="37" s="1"/>
  <c r="T84" i="37"/>
  <c r="K84" i="37"/>
  <c r="U84" i="37" s="1"/>
  <c r="CB83" i="37"/>
  <c r="BS83" i="37"/>
  <c r="BH83" i="37"/>
  <c r="AY83" i="37"/>
  <c r="AN83" i="37"/>
  <c r="AE83" i="37"/>
  <c r="AO83" i="37" s="1"/>
  <c r="T83" i="37"/>
  <c r="K83" i="37"/>
  <c r="CB82" i="37"/>
  <c r="CC82" i="37" s="1"/>
  <c r="BS82" i="37"/>
  <c r="BH82" i="37"/>
  <c r="AY82" i="37"/>
  <c r="AN82" i="37"/>
  <c r="AE82" i="37"/>
  <c r="T82" i="37"/>
  <c r="K82" i="37"/>
  <c r="CI82" i="37" s="1"/>
  <c r="CB80" i="37"/>
  <c r="BS80" i="37"/>
  <c r="BH80" i="37"/>
  <c r="AY80" i="37"/>
  <c r="AN80" i="37"/>
  <c r="AO80" i="37" s="1"/>
  <c r="AE80" i="37"/>
  <c r="T80" i="37"/>
  <c r="K80" i="37"/>
  <c r="CB78" i="37"/>
  <c r="BS78" i="37"/>
  <c r="BI78" i="37"/>
  <c r="BH78" i="37"/>
  <c r="AY78" i="37"/>
  <c r="AN78" i="37"/>
  <c r="AE78" i="37"/>
  <c r="T78" i="37"/>
  <c r="K78" i="37"/>
  <c r="CB77" i="37"/>
  <c r="BS77" i="37"/>
  <c r="BH77" i="37"/>
  <c r="BI77" i="37" s="1"/>
  <c r="AY77" i="37"/>
  <c r="AN77" i="37"/>
  <c r="AO77" i="37" s="1"/>
  <c r="AE77" i="37"/>
  <c r="T77" i="37"/>
  <c r="K77" i="37"/>
  <c r="CB76" i="37"/>
  <c r="BS76" i="37"/>
  <c r="BH76" i="37"/>
  <c r="AY76" i="37"/>
  <c r="AN76" i="37"/>
  <c r="AO76" i="37" s="1"/>
  <c r="AE76" i="37"/>
  <c r="T76" i="37"/>
  <c r="K76" i="37"/>
  <c r="CA70" i="37"/>
  <c r="BZ70" i="37"/>
  <c r="BY70" i="37"/>
  <c r="BX70" i="37"/>
  <c r="BW70" i="37"/>
  <c r="BV70" i="37"/>
  <c r="BU70" i="37"/>
  <c r="BT70" i="37"/>
  <c r="BR70" i="37"/>
  <c r="BQ70" i="37"/>
  <c r="BP70" i="37"/>
  <c r="BO70" i="37"/>
  <c r="BN70" i="37"/>
  <c r="BM70" i="37"/>
  <c r="BL70" i="37"/>
  <c r="BK70" i="37"/>
  <c r="BG70" i="37"/>
  <c r="BF70" i="37"/>
  <c r="BE70" i="37"/>
  <c r="BD70" i="37"/>
  <c r="BC70" i="37"/>
  <c r="BB70" i="37"/>
  <c r="BA70" i="37"/>
  <c r="AZ70" i="37"/>
  <c r="AX70" i="37"/>
  <c r="AW70" i="37"/>
  <c r="AV70" i="37"/>
  <c r="AU70" i="37"/>
  <c r="AT70" i="37"/>
  <c r="AS70" i="37"/>
  <c r="AR70" i="37"/>
  <c r="AQ70" i="37"/>
  <c r="AM70" i="37"/>
  <c r="AL70" i="37"/>
  <c r="AK70" i="37"/>
  <c r="AJ70" i="37"/>
  <c r="AI70" i="37"/>
  <c r="AH70" i="37"/>
  <c r="AG70" i="37"/>
  <c r="AF70" i="37"/>
  <c r="AD70" i="37"/>
  <c r="AC70" i="37"/>
  <c r="AB70" i="37"/>
  <c r="AA70" i="37"/>
  <c r="Z70" i="37"/>
  <c r="Y70" i="37"/>
  <c r="X70" i="37"/>
  <c r="W70" i="37"/>
  <c r="S70" i="37"/>
  <c r="R70" i="37"/>
  <c r="Q70" i="37"/>
  <c r="P70" i="37"/>
  <c r="O70" i="37"/>
  <c r="N70" i="37"/>
  <c r="M70" i="37"/>
  <c r="L70" i="37"/>
  <c r="J70" i="37"/>
  <c r="I70" i="37"/>
  <c r="H70" i="37"/>
  <c r="G70" i="37"/>
  <c r="F70" i="37"/>
  <c r="E70" i="37"/>
  <c r="D70" i="37"/>
  <c r="C70" i="37"/>
  <c r="BZ66" i="37"/>
  <c r="BX66" i="37"/>
  <c r="BV66" i="37"/>
  <c r="BT66" i="37"/>
  <c r="BF66" i="37"/>
  <c r="BD66" i="37"/>
  <c r="BB66" i="37"/>
  <c r="AZ66" i="37"/>
  <c r="AL66" i="37"/>
  <c r="AJ66" i="37"/>
  <c r="AH66" i="37"/>
  <c r="AF66" i="37"/>
  <c r="R66" i="37"/>
  <c r="P66" i="37"/>
  <c r="N66" i="37"/>
  <c r="L66" i="37"/>
  <c r="CB64" i="37"/>
  <c r="BS64" i="37"/>
  <c r="BH64" i="37"/>
  <c r="AY64" i="37"/>
  <c r="AN64" i="37"/>
  <c r="AE64" i="37"/>
  <c r="T64" i="37"/>
  <c r="K64" i="37"/>
  <c r="CB63" i="37"/>
  <c r="BS63" i="37"/>
  <c r="BH63" i="37"/>
  <c r="AY63" i="37"/>
  <c r="AN63" i="37"/>
  <c r="AE63" i="37"/>
  <c r="T63" i="37"/>
  <c r="K63" i="37"/>
  <c r="CB62" i="37"/>
  <c r="BS62" i="37"/>
  <c r="BH62" i="37"/>
  <c r="AY62" i="37"/>
  <c r="AN62" i="37"/>
  <c r="AO62" i="37" s="1"/>
  <c r="AE62" i="37"/>
  <c r="T62" i="37"/>
  <c r="K62" i="37"/>
  <c r="CB61" i="37"/>
  <c r="BS61" i="37"/>
  <c r="BH61" i="37"/>
  <c r="AY61" i="37"/>
  <c r="AN61" i="37"/>
  <c r="AE61" i="37"/>
  <c r="T61" i="37"/>
  <c r="K61" i="37"/>
  <c r="CB60" i="37"/>
  <c r="BS60" i="37"/>
  <c r="BH60" i="37"/>
  <c r="AY60" i="37"/>
  <c r="AN60" i="37"/>
  <c r="AE60" i="37"/>
  <c r="T60" i="37"/>
  <c r="K60" i="37"/>
  <c r="CB59" i="37"/>
  <c r="BS59" i="37"/>
  <c r="BH59" i="37"/>
  <c r="AY59" i="37"/>
  <c r="AN59" i="37"/>
  <c r="AE59" i="37"/>
  <c r="T59" i="37"/>
  <c r="K59" i="37"/>
  <c r="CB58" i="37"/>
  <c r="BS58" i="37"/>
  <c r="BH58" i="37"/>
  <c r="AY58" i="37"/>
  <c r="AN58" i="37"/>
  <c r="AE58" i="37"/>
  <c r="T58" i="37"/>
  <c r="K58" i="37"/>
  <c r="CB57" i="37"/>
  <c r="BS57" i="37"/>
  <c r="BH57" i="37"/>
  <c r="AY57" i="37"/>
  <c r="AN57" i="37"/>
  <c r="AE57" i="37"/>
  <c r="T57" i="37"/>
  <c r="K57" i="37"/>
  <c r="CB56" i="37"/>
  <c r="BS56" i="37"/>
  <c r="BH56" i="37"/>
  <c r="AY56" i="37"/>
  <c r="AN56" i="37"/>
  <c r="AE56" i="37"/>
  <c r="T56" i="37"/>
  <c r="K56" i="37"/>
  <c r="CB55" i="37"/>
  <c r="BS55" i="37"/>
  <c r="BH55" i="37"/>
  <c r="AY55" i="37"/>
  <c r="AN55" i="37"/>
  <c r="AE55" i="37"/>
  <c r="T55" i="37"/>
  <c r="K55" i="37"/>
  <c r="CB50" i="37"/>
  <c r="BS50" i="37"/>
  <c r="BH50" i="37"/>
  <c r="AY50" i="37"/>
  <c r="AN50" i="37"/>
  <c r="AE50" i="37"/>
  <c r="T50" i="37"/>
  <c r="K50" i="37"/>
  <c r="CB49" i="37"/>
  <c r="BS49" i="37"/>
  <c r="BH49" i="37"/>
  <c r="AY49" i="37"/>
  <c r="AN49" i="37"/>
  <c r="AE49" i="37"/>
  <c r="T49" i="37"/>
  <c r="K49" i="37"/>
  <c r="CB48" i="37"/>
  <c r="BS48" i="37"/>
  <c r="BH48" i="37"/>
  <c r="AY48" i="37"/>
  <c r="AN48" i="37"/>
  <c r="AE48" i="37"/>
  <c r="T48" i="37"/>
  <c r="K48" i="37"/>
  <c r="BH46" i="37"/>
  <c r="AN46" i="37"/>
  <c r="T46" i="37"/>
  <c r="CB43" i="37"/>
  <c r="BS43" i="37"/>
  <c r="BH43" i="37"/>
  <c r="AY43" i="37"/>
  <c r="AN43" i="37"/>
  <c r="AE43" i="37"/>
  <c r="T43" i="37"/>
  <c r="K43" i="37"/>
  <c r="CB42" i="37"/>
  <c r="BS42" i="37"/>
  <c r="BH42" i="37"/>
  <c r="AY42" i="37"/>
  <c r="AN42" i="37"/>
  <c r="AE42" i="37"/>
  <c r="T42" i="37"/>
  <c r="K42" i="37"/>
  <c r="CB41" i="37"/>
  <c r="BS41" i="37"/>
  <c r="BH41" i="37"/>
  <c r="AY41" i="37"/>
  <c r="AN41" i="37"/>
  <c r="AE41" i="37"/>
  <c r="T41" i="37"/>
  <c r="K41" i="37"/>
  <c r="CB40" i="37"/>
  <c r="BS40" i="37"/>
  <c r="BH40" i="37"/>
  <c r="AY40" i="37"/>
  <c r="AN40" i="37"/>
  <c r="AE40" i="37"/>
  <c r="T40" i="37"/>
  <c r="K40" i="37"/>
  <c r="CB39" i="37"/>
  <c r="BS39" i="37"/>
  <c r="BH39" i="37"/>
  <c r="AY39" i="37"/>
  <c r="AN39" i="37"/>
  <c r="AE39" i="37"/>
  <c r="T39" i="37"/>
  <c r="K39" i="37"/>
  <c r="CB38" i="37"/>
  <c r="BS38" i="37"/>
  <c r="BH38" i="37"/>
  <c r="AY38" i="37"/>
  <c r="AN38" i="37"/>
  <c r="AE38" i="37"/>
  <c r="T38" i="37"/>
  <c r="K38" i="37"/>
  <c r="CB37" i="37"/>
  <c r="BS37" i="37"/>
  <c r="BH37" i="37"/>
  <c r="AY37" i="37"/>
  <c r="AN37" i="37"/>
  <c r="AE37" i="37"/>
  <c r="T37" i="37"/>
  <c r="K37" i="37"/>
  <c r="CB36" i="37"/>
  <c r="BS36" i="37"/>
  <c r="BH36" i="37"/>
  <c r="AY36" i="37"/>
  <c r="AN36" i="37"/>
  <c r="AE36" i="37"/>
  <c r="T36" i="37"/>
  <c r="K36" i="37"/>
  <c r="CB35" i="37"/>
  <c r="BS35" i="37"/>
  <c r="BH35" i="37"/>
  <c r="AY35" i="37"/>
  <c r="AN35" i="37"/>
  <c r="AE35" i="37"/>
  <c r="T35" i="37"/>
  <c r="K35" i="37"/>
  <c r="CB28" i="37"/>
  <c r="BS28" i="37"/>
  <c r="BH28" i="37"/>
  <c r="AY28" i="37"/>
  <c r="AN28" i="37"/>
  <c r="AE28" i="37"/>
  <c r="T28" i="37"/>
  <c r="K28" i="37"/>
  <c r="CB27" i="37"/>
  <c r="BS27" i="37"/>
  <c r="BH27" i="37"/>
  <c r="AY27" i="37"/>
  <c r="BI27" i="37" s="1"/>
  <c r="AN27" i="37"/>
  <c r="AE27" i="37"/>
  <c r="T27" i="37"/>
  <c r="K27" i="37"/>
  <c r="CB26" i="37"/>
  <c r="BS26" i="37"/>
  <c r="BH26" i="37"/>
  <c r="AY26" i="37"/>
  <c r="BI26" i="37" s="1"/>
  <c r="AN26" i="37"/>
  <c r="AE26" i="37"/>
  <c r="T26" i="37"/>
  <c r="K26" i="37"/>
  <c r="CI26" i="37" s="1"/>
  <c r="CB25" i="37"/>
  <c r="BH25" i="37"/>
  <c r="AY25" i="37"/>
  <c r="BI25" i="37" s="1"/>
  <c r="AN25" i="37"/>
  <c r="AE25" i="37"/>
  <c r="T25" i="37"/>
  <c r="K25" i="37"/>
  <c r="BS22" i="37"/>
  <c r="AY22" i="37"/>
  <c r="AE22" i="37"/>
  <c r="K22" i="37"/>
  <c r="CB21" i="37"/>
  <c r="BS21" i="37"/>
  <c r="BH21" i="37"/>
  <c r="AY21" i="37"/>
  <c r="AN21" i="37"/>
  <c r="AE21" i="37"/>
  <c r="T21" i="37"/>
  <c r="K21" i="37"/>
  <c r="CA20" i="37"/>
  <c r="BZ20" i="37"/>
  <c r="BZ23" i="37" s="1"/>
  <c r="BY20" i="37"/>
  <c r="BX20" i="37"/>
  <c r="BX23" i="37" s="1"/>
  <c r="BW20" i="37"/>
  <c r="BV20" i="37"/>
  <c r="BV23" i="37" s="1"/>
  <c r="BU20" i="37"/>
  <c r="BT20" i="37"/>
  <c r="BT23" i="37" s="1"/>
  <c r="BR20" i="37"/>
  <c r="BR23" i="37" s="1"/>
  <c r="BQ20" i="37"/>
  <c r="BQ23" i="37" s="1"/>
  <c r="BP20" i="37"/>
  <c r="BP23" i="37" s="1"/>
  <c r="BO20" i="37"/>
  <c r="BO23" i="37" s="1"/>
  <c r="BN20" i="37"/>
  <c r="BN23" i="37" s="1"/>
  <c r="BM20" i="37"/>
  <c r="BM23" i="37" s="1"/>
  <c r="BL20" i="37"/>
  <c r="BL23" i="37" s="1"/>
  <c r="BK20" i="37"/>
  <c r="BK23" i="37" s="1"/>
  <c r="BG20" i="37"/>
  <c r="BF20" i="37"/>
  <c r="BF23" i="37" s="1"/>
  <c r="BE20" i="37"/>
  <c r="BD20" i="37"/>
  <c r="BD23" i="37" s="1"/>
  <c r="BC20" i="37"/>
  <c r="BB20" i="37"/>
  <c r="BB23" i="37" s="1"/>
  <c r="BA20" i="37"/>
  <c r="AZ20" i="37"/>
  <c r="AZ23" i="37" s="1"/>
  <c r="AX20" i="37"/>
  <c r="AX23" i="37" s="1"/>
  <c r="AW20" i="37"/>
  <c r="AW23" i="37" s="1"/>
  <c r="AV20" i="37"/>
  <c r="AV23" i="37" s="1"/>
  <c r="AU20" i="37"/>
  <c r="AU23" i="37" s="1"/>
  <c r="AT20" i="37"/>
  <c r="AT23" i="37" s="1"/>
  <c r="AS20" i="37"/>
  <c r="AS23" i="37" s="1"/>
  <c r="AR20" i="37"/>
  <c r="AR23" i="37" s="1"/>
  <c r="AQ20" i="37"/>
  <c r="AQ23" i="37" s="1"/>
  <c r="AM20" i="37"/>
  <c r="AL20" i="37"/>
  <c r="AL23" i="37" s="1"/>
  <c r="AK20" i="37"/>
  <c r="AJ20" i="37"/>
  <c r="AJ23" i="37" s="1"/>
  <c r="AI20" i="37"/>
  <c r="AH20" i="37"/>
  <c r="AH23" i="37" s="1"/>
  <c r="AG20" i="37"/>
  <c r="AF20" i="37"/>
  <c r="AF23" i="37" s="1"/>
  <c r="AD20" i="37"/>
  <c r="AD23" i="37" s="1"/>
  <c r="AC20" i="37"/>
  <c r="AC23" i="37" s="1"/>
  <c r="AB20" i="37"/>
  <c r="AB23" i="37" s="1"/>
  <c r="AA20" i="37"/>
  <c r="AA23" i="37" s="1"/>
  <c r="Z20" i="37"/>
  <c r="Z23" i="37" s="1"/>
  <c r="Y20" i="37"/>
  <c r="Y23" i="37" s="1"/>
  <c r="X20" i="37"/>
  <c r="X23" i="37" s="1"/>
  <c r="W20" i="37"/>
  <c r="W23" i="37" s="1"/>
  <c r="S20" i="37"/>
  <c r="R20" i="37"/>
  <c r="Q20" i="37"/>
  <c r="P20" i="37"/>
  <c r="O20" i="37"/>
  <c r="N20" i="37"/>
  <c r="M20" i="37"/>
  <c r="L20" i="37"/>
  <c r="J20" i="37"/>
  <c r="J23" i="37" s="1"/>
  <c r="I20" i="37"/>
  <c r="I23" i="37" s="1"/>
  <c r="H20" i="37"/>
  <c r="H23" i="37" s="1"/>
  <c r="G20" i="37"/>
  <c r="G23" i="37" s="1"/>
  <c r="F20" i="37"/>
  <c r="E20" i="37"/>
  <c r="D20" i="37"/>
  <c r="C20" i="37"/>
  <c r="CB19" i="37"/>
  <c r="BS19" i="37"/>
  <c r="BH19" i="37"/>
  <c r="AY19" i="37"/>
  <c r="AN19" i="37"/>
  <c r="AE19" i="37"/>
  <c r="T19" i="37"/>
  <c r="K19" i="37"/>
  <c r="CB18" i="37"/>
  <c r="BS18" i="37"/>
  <c r="BH18" i="37"/>
  <c r="AY18" i="37"/>
  <c r="AN18" i="37"/>
  <c r="AE18" i="37"/>
  <c r="T18" i="37"/>
  <c r="K18" i="37"/>
  <c r="CB17" i="37"/>
  <c r="BS17" i="37"/>
  <c r="BH17" i="37"/>
  <c r="AY17" i="37"/>
  <c r="AN17" i="37"/>
  <c r="AE17" i="37"/>
  <c r="T17" i="37"/>
  <c r="K17" i="37"/>
  <c r="CR16" i="37"/>
  <c r="CQ16" i="37"/>
  <c r="CP16" i="37"/>
  <c r="CO16" i="37"/>
  <c r="CB16" i="37"/>
  <c r="BS16" i="37"/>
  <c r="BH16" i="37"/>
  <c r="AY16" i="37"/>
  <c r="AN16" i="37"/>
  <c r="AE16" i="37"/>
  <c r="T16" i="37"/>
  <c r="K16" i="37"/>
  <c r="CC61" i="37" l="1"/>
  <c r="BI38" i="37"/>
  <c r="BI40" i="37"/>
  <c r="AO64" i="37"/>
  <c r="CC64" i="37"/>
  <c r="U50" i="37"/>
  <c r="CN55" i="37"/>
  <c r="CC40" i="37"/>
  <c r="AO41" i="37"/>
  <c r="AO43" i="37"/>
  <c r="CC43" i="37"/>
  <c r="AO36" i="37"/>
  <c r="AO37" i="37"/>
  <c r="CC37" i="37"/>
  <c r="BI17" i="37"/>
  <c r="BI18" i="37"/>
  <c r="CC48" i="37"/>
  <c r="CC49" i="37"/>
  <c r="CC55" i="37"/>
  <c r="CC58" i="37"/>
  <c r="CC60" i="37"/>
  <c r="AO38" i="37"/>
  <c r="AO40" i="37"/>
  <c r="BI42" i="37"/>
  <c r="CC78" i="37"/>
  <c r="CC80" i="37"/>
  <c r="CN41" i="37"/>
  <c r="CI56" i="37"/>
  <c r="CI57" i="37"/>
  <c r="CI58" i="37"/>
  <c r="CI59" i="37"/>
  <c r="CI60" i="37"/>
  <c r="CI61" i="37"/>
  <c r="CI63" i="37"/>
  <c r="CC36" i="37"/>
  <c r="CI22" i="37"/>
  <c r="CC17" i="37"/>
  <c r="BI83" i="37"/>
  <c r="BI76" i="37"/>
  <c r="BI49" i="37"/>
  <c r="BI55" i="37"/>
  <c r="BI50" i="37"/>
  <c r="BI57" i="37"/>
  <c r="BI60" i="37"/>
  <c r="CI28" i="37"/>
  <c r="BI19" i="37"/>
  <c r="AO78" i="37"/>
  <c r="CI77" i="37"/>
  <c r="CN56" i="37"/>
  <c r="CN59" i="37"/>
  <c r="CN62" i="37"/>
  <c r="CN39" i="37"/>
  <c r="AO56" i="37"/>
  <c r="AO58" i="37"/>
  <c r="AO59" i="37"/>
  <c r="CI41" i="37"/>
  <c r="CI42" i="37"/>
  <c r="CI43" i="37"/>
  <c r="CI48" i="37"/>
  <c r="CI49" i="37"/>
  <c r="CN25" i="37"/>
  <c r="AO25" i="37"/>
  <c r="CN21" i="37"/>
  <c r="U17" i="37"/>
  <c r="CI17" i="37"/>
  <c r="U21" i="37"/>
  <c r="CI21" i="37"/>
  <c r="U42" i="37"/>
  <c r="CN42" i="37"/>
  <c r="U58" i="37"/>
  <c r="CN58" i="37"/>
  <c r="U62" i="37"/>
  <c r="CI62" i="37"/>
  <c r="U64" i="37"/>
  <c r="CI64" i="37"/>
  <c r="U18" i="37"/>
  <c r="CI18" i="37"/>
  <c r="U43" i="37"/>
  <c r="CN43" i="37"/>
  <c r="U57" i="37"/>
  <c r="CN57" i="37"/>
  <c r="CN16" i="37"/>
  <c r="CN17" i="37"/>
  <c r="CN18" i="37"/>
  <c r="CN19" i="37"/>
  <c r="CN26" i="37"/>
  <c r="U27" i="37"/>
  <c r="CI27" i="37"/>
  <c r="CI35" i="37"/>
  <c r="CI36" i="37"/>
  <c r="CI37" i="37"/>
  <c r="CC38" i="37"/>
  <c r="AO39" i="37"/>
  <c r="U48" i="37"/>
  <c r="CN48" i="37"/>
  <c r="CN49" i="37"/>
  <c r="CI50" i="37"/>
  <c r="AO50" i="37"/>
  <c r="U61" i="37"/>
  <c r="CN61" i="37"/>
  <c r="BI61" i="37"/>
  <c r="BI62" i="37"/>
  <c r="U63" i="37"/>
  <c r="CN63" i="37"/>
  <c r="BI63" i="37"/>
  <c r="CN64" i="37"/>
  <c r="BI64" i="37"/>
  <c r="CN77" i="37"/>
  <c r="U78" i="37"/>
  <c r="CS78" i="37" s="1"/>
  <c r="CI78" i="37"/>
  <c r="U82" i="37"/>
  <c r="CN82" i="37"/>
  <c r="BI82" i="37"/>
  <c r="CI83" i="37"/>
  <c r="CC83" i="37"/>
  <c r="BI84" i="37"/>
  <c r="CN85" i="37"/>
  <c r="U16" i="37"/>
  <c r="CI16" i="37"/>
  <c r="U19" i="37"/>
  <c r="CI19" i="37"/>
  <c r="U25" i="37"/>
  <c r="U60" i="37"/>
  <c r="CN60" i="37"/>
  <c r="AO16" i="37"/>
  <c r="CC16" i="37"/>
  <c r="AO17" i="37"/>
  <c r="AO18" i="37"/>
  <c r="CC18" i="37"/>
  <c r="AO19" i="37"/>
  <c r="CC19" i="37"/>
  <c r="AO21" i="37"/>
  <c r="U26" i="37"/>
  <c r="CN27" i="37"/>
  <c r="U28" i="37"/>
  <c r="CN28" i="37"/>
  <c r="BI28" i="37"/>
  <c r="CN35" i="37"/>
  <c r="U36" i="37"/>
  <c r="CN36" i="37"/>
  <c r="U37" i="37"/>
  <c r="CN37" i="37"/>
  <c r="CI38" i="37"/>
  <c r="U39" i="37"/>
  <c r="CI39" i="37"/>
  <c r="BI39" i="37"/>
  <c r="CI40" i="37"/>
  <c r="CC41" i="37"/>
  <c r="AO42" i="37"/>
  <c r="AO48" i="37"/>
  <c r="U49" i="37"/>
  <c r="CN50" i="37"/>
  <c r="CI55" i="37"/>
  <c r="CC56" i="37"/>
  <c r="AO57" i="37"/>
  <c r="CC59" i="37"/>
  <c r="AO60" i="37"/>
  <c r="AO61" i="37"/>
  <c r="AO63" i="37"/>
  <c r="CI76" i="37"/>
  <c r="CN78" i="37"/>
  <c r="CI80" i="37"/>
  <c r="CN83" i="37"/>
  <c r="CI84" i="37"/>
  <c r="CC26" i="37"/>
  <c r="CC27" i="37"/>
  <c r="AO35" i="37"/>
  <c r="CC35" i="37"/>
  <c r="U38" i="37"/>
  <c r="CN38" i="37"/>
  <c r="U40" i="37"/>
  <c r="CN40" i="37"/>
  <c r="BI41" i="37"/>
  <c r="AO49" i="37"/>
  <c r="BI56" i="37"/>
  <c r="BI59" i="37"/>
  <c r="CN76" i="37"/>
  <c r="CC77" i="37"/>
  <c r="U80" i="37"/>
  <c r="CN80" i="37"/>
  <c r="BI80" i="37"/>
  <c r="U83" i="37"/>
  <c r="CN84" i="37"/>
  <c r="CC85" i="37"/>
  <c r="U77" i="37"/>
  <c r="CG64" i="36"/>
  <c r="CQ64" i="36"/>
  <c r="CL64" i="36"/>
  <c r="CR64" i="36"/>
  <c r="CH64" i="36"/>
  <c r="CM64" i="36"/>
  <c r="CO64" i="36"/>
  <c r="CE64" i="36"/>
  <c r="CJ64" i="36"/>
  <c r="CP64" i="36"/>
  <c r="CF64" i="36"/>
  <c r="CK64" i="36"/>
  <c r="CG23" i="37"/>
  <c r="N23" i="37"/>
  <c r="CK20" i="37"/>
  <c r="CH23" i="37"/>
  <c r="CF70" i="37"/>
  <c r="CP70" i="37"/>
  <c r="CK70" i="37"/>
  <c r="E23" i="37"/>
  <c r="CF20" i="37"/>
  <c r="CP20" i="37"/>
  <c r="CG70" i="37"/>
  <c r="CQ70" i="37"/>
  <c r="CL70" i="37"/>
  <c r="CR20" i="37"/>
  <c r="CH20" i="37"/>
  <c r="R23" i="37"/>
  <c r="CM20" i="37"/>
  <c r="CH70" i="37"/>
  <c r="CR70" i="37"/>
  <c r="CM70" i="37"/>
  <c r="CE20" i="37"/>
  <c r="CO20" i="37"/>
  <c r="L23" i="37"/>
  <c r="CJ20" i="37"/>
  <c r="CQ20" i="37"/>
  <c r="CG20" i="37"/>
  <c r="P23" i="37"/>
  <c r="CL20" i="37"/>
  <c r="CO70" i="37"/>
  <c r="CE70" i="37"/>
  <c r="CJ70" i="37"/>
  <c r="F23" i="37"/>
  <c r="CN66" i="37"/>
  <c r="D23" i="37"/>
  <c r="AY23" i="37"/>
  <c r="AE70" i="37"/>
  <c r="CB70" i="37"/>
  <c r="C23" i="37"/>
  <c r="AE64" i="36"/>
  <c r="CO14" i="36"/>
  <c r="H42" i="39"/>
  <c r="CC28" i="37"/>
  <c r="U35" i="37"/>
  <c r="CC62" i="37"/>
  <c r="BI37" i="37"/>
  <c r="CC39" i="37"/>
  <c r="CC42" i="37"/>
  <c r="CC50" i="37"/>
  <c r="AO55" i="37"/>
  <c r="CC57" i="37"/>
  <c r="BI21" i="37"/>
  <c r="AO27" i="37"/>
  <c r="BI36" i="37"/>
  <c r="U41" i="37"/>
  <c r="BI43" i="37"/>
  <c r="U56" i="37"/>
  <c r="BI58" i="37"/>
  <c r="U59" i="37"/>
  <c r="CC63" i="37"/>
  <c r="T64" i="36"/>
  <c r="AN64" i="36"/>
  <c r="AY64" i="36"/>
  <c r="BH64" i="36"/>
  <c r="BS64" i="36"/>
  <c r="CB64" i="36"/>
  <c r="K64" i="36"/>
  <c r="K20" i="37"/>
  <c r="T20" i="37"/>
  <c r="AE23" i="37"/>
  <c r="AE20" i="37"/>
  <c r="CC21" i="37"/>
  <c r="AO28" i="37"/>
  <c r="BI16" i="37"/>
  <c r="AN20" i="37"/>
  <c r="AY20" i="37"/>
  <c r="BH20" i="37"/>
  <c r="BI35" i="37"/>
  <c r="BS23" i="37"/>
  <c r="BS20" i="37"/>
  <c r="AO26" i="37"/>
  <c r="AN70" i="37"/>
  <c r="CB20" i="37"/>
  <c r="U55" i="37"/>
  <c r="U85" i="37"/>
  <c r="BI48" i="37"/>
  <c r="AO82" i="37"/>
  <c r="CC84" i="37"/>
  <c r="CS84" i="37" s="1"/>
  <c r="CC76" i="37"/>
  <c r="U76" i="37"/>
  <c r="AY70" i="37"/>
  <c r="BH70" i="37"/>
  <c r="K70" i="37"/>
  <c r="T70" i="37"/>
  <c r="BS70" i="37"/>
  <c r="BG52" i="40"/>
  <c r="BF52" i="40"/>
  <c r="BE52" i="40"/>
  <c r="BD52" i="40"/>
  <c r="BA52" i="40"/>
  <c r="AX52" i="40"/>
  <c r="BG51" i="40"/>
  <c r="BF51" i="40"/>
  <c r="BE51" i="40"/>
  <c r="BD51" i="40"/>
  <c r="BA51" i="40"/>
  <c r="AZ51" i="40"/>
  <c r="AX51" i="40"/>
  <c r="AW51" i="40"/>
  <c r="BG50" i="40"/>
  <c r="BF50" i="40"/>
  <c r="BE50" i="40"/>
  <c r="BD50" i="40"/>
  <c r="BA50" i="40"/>
  <c r="AX50" i="40"/>
  <c r="BG49" i="40"/>
  <c r="BF49" i="40"/>
  <c r="BE49" i="40"/>
  <c r="BD49" i="40"/>
  <c r="BA49" i="40"/>
  <c r="AZ49" i="40"/>
  <c r="AX49" i="40"/>
  <c r="AW49" i="40"/>
  <c r="BG48" i="40"/>
  <c r="BF48" i="40"/>
  <c r="BE48" i="40"/>
  <c r="BD48" i="40"/>
  <c r="BA48" i="40"/>
  <c r="AZ48" i="40"/>
  <c r="AX48" i="40"/>
  <c r="AW48" i="40"/>
  <c r="BG47" i="40"/>
  <c r="BF47" i="40"/>
  <c r="BE47" i="40"/>
  <c r="BD47" i="40"/>
  <c r="BA47" i="40"/>
  <c r="AZ47" i="40"/>
  <c r="AX47" i="40"/>
  <c r="AW47" i="40"/>
  <c r="BG45" i="40"/>
  <c r="BF45" i="40"/>
  <c r="BE45" i="40"/>
  <c r="BD45" i="40"/>
  <c r="BA45" i="40"/>
  <c r="AX45" i="40"/>
  <c r="BB42" i="40"/>
  <c r="AY42" i="40"/>
  <c r="BB41" i="40"/>
  <c r="AY41" i="40"/>
  <c r="BB40" i="40"/>
  <c r="AY40" i="40"/>
  <c r="BB39" i="40"/>
  <c r="AY39" i="40"/>
  <c r="BB38" i="40"/>
  <c r="AY38" i="40"/>
  <c r="BB33" i="40"/>
  <c r="AY33" i="40"/>
  <c r="BB32" i="40"/>
  <c r="AY32" i="40"/>
  <c r="BB31" i="40"/>
  <c r="AY31" i="40"/>
  <c r="BB25" i="40"/>
  <c r="AY25" i="40"/>
  <c r="BB24" i="40"/>
  <c r="AY24" i="40"/>
  <c r="BB23" i="40"/>
  <c r="AY23" i="40"/>
  <c r="BB22" i="40"/>
  <c r="AY22" i="40"/>
  <c r="BB21" i="40"/>
  <c r="AY21" i="40"/>
  <c r="BB20" i="40"/>
  <c r="AY20" i="40"/>
  <c r="BB19" i="40"/>
  <c r="AY19" i="40"/>
  <c r="BB18" i="40"/>
  <c r="AY18" i="40"/>
  <c r="AR52" i="40"/>
  <c r="AQ52" i="40"/>
  <c r="AP52" i="40"/>
  <c r="AO52" i="40"/>
  <c r="AL52" i="40"/>
  <c r="AI52" i="40"/>
  <c r="AR51" i="40"/>
  <c r="AQ51" i="40"/>
  <c r="AP51" i="40"/>
  <c r="AO51" i="40"/>
  <c r="AL51" i="40"/>
  <c r="AK51" i="40"/>
  <c r="AI51" i="40"/>
  <c r="AH51" i="40"/>
  <c r="AR50" i="40"/>
  <c r="AQ50" i="40"/>
  <c r="AP50" i="40"/>
  <c r="AO50" i="40"/>
  <c r="AL50" i="40"/>
  <c r="AI50" i="40"/>
  <c r="AR49" i="40"/>
  <c r="AQ49" i="40"/>
  <c r="AP49" i="40"/>
  <c r="AO49" i="40"/>
  <c r="AL49" i="40"/>
  <c r="AK49" i="40"/>
  <c r="AI49" i="40"/>
  <c r="AH49" i="40"/>
  <c r="AR48" i="40"/>
  <c r="AQ48" i="40"/>
  <c r="AP48" i="40"/>
  <c r="AO48" i="40"/>
  <c r="AL48" i="40"/>
  <c r="AK48" i="40"/>
  <c r="AI48" i="40"/>
  <c r="AH48" i="40"/>
  <c r="AR47" i="40"/>
  <c r="AQ47" i="40"/>
  <c r="AP47" i="40"/>
  <c r="AO47" i="40"/>
  <c r="AL47" i="40"/>
  <c r="AK47" i="40"/>
  <c r="AI47" i="40"/>
  <c r="AH47" i="40"/>
  <c r="AR45" i="40"/>
  <c r="AQ45" i="40"/>
  <c r="AP45" i="40"/>
  <c r="AO45" i="40"/>
  <c r="AL45" i="40"/>
  <c r="AI45" i="40"/>
  <c r="AM42" i="40"/>
  <c r="AJ42" i="40"/>
  <c r="AM41" i="40"/>
  <c r="AJ41" i="40"/>
  <c r="AM40" i="40"/>
  <c r="AJ40" i="40"/>
  <c r="AM39" i="40"/>
  <c r="AJ39" i="40"/>
  <c r="AM38" i="40"/>
  <c r="AJ38" i="40"/>
  <c r="AM33" i="40"/>
  <c r="AJ33" i="40"/>
  <c r="AM32" i="40"/>
  <c r="AJ32" i="40"/>
  <c r="AM31" i="40"/>
  <c r="AJ31" i="40"/>
  <c r="AM25" i="40"/>
  <c r="AJ25" i="40"/>
  <c r="AM24" i="40"/>
  <c r="AJ24" i="40"/>
  <c r="AM23" i="40"/>
  <c r="AJ23" i="40"/>
  <c r="AM22" i="40"/>
  <c r="AJ22" i="40"/>
  <c r="AM21" i="40"/>
  <c r="AJ21" i="40"/>
  <c r="AM20" i="40"/>
  <c r="AJ20" i="40"/>
  <c r="AM19" i="40"/>
  <c r="AJ19" i="40"/>
  <c r="AM18" i="40"/>
  <c r="AJ18" i="40"/>
  <c r="AC52" i="40"/>
  <c r="AB52" i="40"/>
  <c r="AA52" i="40"/>
  <c r="W52" i="40"/>
  <c r="T52" i="40"/>
  <c r="AC51" i="40"/>
  <c r="AB51" i="40"/>
  <c r="AA51" i="40"/>
  <c r="Z51" i="40"/>
  <c r="W51" i="40"/>
  <c r="V51" i="40"/>
  <c r="T51" i="40"/>
  <c r="S51" i="40"/>
  <c r="AC50" i="40"/>
  <c r="AB50" i="40"/>
  <c r="AA50" i="40"/>
  <c r="Z50" i="40"/>
  <c r="W50" i="40"/>
  <c r="T50" i="40"/>
  <c r="AC49" i="40"/>
  <c r="AB49" i="40"/>
  <c r="AA49" i="40"/>
  <c r="Z49" i="40"/>
  <c r="W49" i="40"/>
  <c r="V49" i="40"/>
  <c r="T49" i="40"/>
  <c r="S49" i="40"/>
  <c r="AC48" i="40"/>
  <c r="AB48" i="40"/>
  <c r="AA48" i="40"/>
  <c r="Z48" i="40"/>
  <c r="W48" i="40"/>
  <c r="V48" i="40"/>
  <c r="T48" i="40"/>
  <c r="S48" i="40"/>
  <c r="AC47" i="40"/>
  <c r="AB47" i="40"/>
  <c r="AA47" i="40"/>
  <c r="Z47" i="40"/>
  <c r="W47" i="40"/>
  <c r="V47" i="40"/>
  <c r="T47" i="40"/>
  <c r="S47" i="40"/>
  <c r="AC45" i="40"/>
  <c r="AB45" i="40"/>
  <c r="AA45" i="40"/>
  <c r="W45" i="40"/>
  <c r="T45" i="40"/>
  <c r="X42" i="40"/>
  <c r="U42" i="40"/>
  <c r="X41" i="40"/>
  <c r="U41" i="40"/>
  <c r="X40" i="40"/>
  <c r="U40" i="40"/>
  <c r="X39" i="40"/>
  <c r="U39" i="40"/>
  <c r="X33" i="40"/>
  <c r="U33" i="40"/>
  <c r="X32" i="40"/>
  <c r="U32" i="40"/>
  <c r="X31" i="40"/>
  <c r="U31" i="40"/>
  <c r="X25" i="40"/>
  <c r="U25" i="40"/>
  <c r="X24" i="40"/>
  <c r="U24" i="40"/>
  <c r="X23" i="40"/>
  <c r="U23" i="40"/>
  <c r="X22" i="40"/>
  <c r="U22" i="40"/>
  <c r="X21" i="40"/>
  <c r="U21" i="40"/>
  <c r="X20" i="40"/>
  <c r="U20" i="40"/>
  <c r="X19" i="40"/>
  <c r="U19" i="40"/>
  <c r="I42" i="40"/>
  <c r="I41" i="40"/>
  <c r="I40" i="40"/>
  <c r="I39" i="40"/>
  <c r="I38" i="40"/>
  <c r="I33" i="40"/>
  <c r="I32" i="40"/>
  <c r="I31" i="40"/>
  <c r="I25" i="40"/>
  <c r="I24" i="40"/>
  <c r="I23" i="40"/>
  <c r="I22" i="40"/>
  <c r="I21" i="40"/>
  <c r="I20" i="40"/>
  <c r="I19" i="40"/>
  <c r="F42" i="40"/>
  <c r="F41" i="40"/>
  <c r="F40" i="40"/>
  <c r="F39" i="40"/>
  <c r="F38" i="40"/>
  <c r="F33" i="40"/>
  <c r="F32" i="40"/>
  <c r="F31" i="40"/>
  <c r="F25" i="40"/>
  <c r="F24" i="40"/>
  <c r="F23" i="40"/>
  <c r="F22" i="40"/>
  <c r="F21" i="40"/>
  <c r="F20" i="40"/>
  <c r="F19" i="40"/>
  <c r="F18" i="40"/>
  <c r="E52" i="40"/>
  <c r="BM52" i="40" s="1"/>
  <c r="E51" i="40"/>
  <c r="E50" i="40"/>
  <c r="BM50" i="40" s="1"/>
  <c r="E49" i="40"/>
  <c r="E48" i="40"/>
  <c r="E47" i="40"/>
  <c r="E45" i="40"/>
  <c r="BM45" i="40" s="1"/>
  <c r="CS64" i="37" l="1"/>
  <c r="BQ38" i="40"/>
  <c r="BQ18" i="40"/>
  <c r="BC19" i="40"/>
  <c r="BI19" i="40" s="1"/>
  <c r="BC21" i="40"/>
  <c r="BI21" i="40" s="1"/>
  <c r="BC23" i="40"/>
  <c r="BI23" i="40" s="1"/>
  <c r="BC25" i="40"/>
  <c r="BI25" i="40" s="1"/>
  <c r="BN38" i="40"/>
  <c r="BC40" i="40"/>
  <c r="BI40" i="40" s="1"/>
  <c r="BC42" i="40"/>
  <c r="BI42" i="40" s="1"/>
  <c r="BC31" i="40"/>
  <c r="BI31" i="40" s="1"/>
  <c r="BQ19" i="40"/>
  <c r="AN19" i="40"/>
  <c r="AT19" i="40" s="1"/>
  <c r="AN21" i="40"/>
  <c r="AT21" i="40" s="1"/>
  <c r="AN23" i="40"/>
  <c r="AT23" i="40" s="1"/>
  <c r="AN25" i="40"/>
  <c r="AT25" i="40" s="1"/>
  <c r="AN31" i="40"/>
  <c r="AT31" i="40" s="1"/>
  <c r="AN33" i="40"/>
  <c r="AT33" i="40" s="1"/>
  <c r="AN39" i="40"/>
  <c r="AT39" i="40" s="1"/>
  <c r="BN40" i="40"/>
  <c r="BN20" i="40"/>
  <c r="BN24" i="40"/>
  <c r="BQ23" i="40"/>
  <c r="CS43" i="37"/>
  <c r="BQ39" i="40"/>
  <c r="BQ22" i="40"/>
  <c r="BN32" i="40"/>
  <c r="BQ32" i="40"/>
  <c r="BQ40" i="40"/>
  <c r="BN41" i="40"/>
  <c r="BN42" i="40"/>
  <c r="BQ21" i="40"/>
  <c r="BQ25" i="40"/>
  <c r="BQ42" i="40"/>
  <c r="BQ31" i="40"/>
  <c r="Y19" i="40"/>
  <c r="AE19" i="40" s="1"/>
  <c r="Y23" i="40"/>
  <c r="AE23" i="40" s="1"/>
  <c r="Y31" i="40"/>
  <c r="AE31" i="40" s="1"/>
  <c r="BQ20" i="40"/>
  <c r="BQ24" i="40"/>
  <c r="BQ33" i="40"/>
  <c r="BQ41" i="40"/>
  <c r="BN22" i="40"/>
  <c r="BN39" i="40"/>
  <c r="CS17" i="37"/>
  <c r="CS49" i="37"/>
  <c r="CS40" i="37"/>
  <c r="CS42" i="37"/>
  <c r="CS58" i="37"/>
  <c r="CS37" i="37"/>
  <c r="BN18" i="40"/>
  <c r="J18" i="40"/>
  <c r="P18" i="40" s="1"/>
  <c r="CS50" i="37"/>
  <c r="CS39" i="37"/>
  <c r="CS62" i="37"/>
  <c r="CS61" i="37"/>
  <c r="CS48" i="37"/>
  <c r="CS57" i="37"/>
  <c r="CS77" i="37"/>
  <c r="CS36" i="37"/>
  <c r="CS63" i="37"/>
  <c r="CS60" i="37"/>
  <c r="CS21" i="37"/>
  <c r="CS18" i="37"/>
  <c r="CS19" i="37"/>
  <c r="CS80" i="37"/>
  <c r="CS76" i="37"/>
  <c r="CS82" i="37"/>
  <c r="CS16" i="37"/>
  <c r="BN21" i="40"/>
  <c r="BN25" i="40"/>
  <c r="BN33" i="40"/>
  <c r="AN18" i="40"/>
  <c r="AT18" i="40" s="1"/>
  <c r="BC33" i="40"/>
  <c r="BI33" i="40" s="1"/>
  <c r="BC39" i="40"/>
  <c r="BI39" i="40" s="1"/>
  <c r="BC41" i="40"/>
  <c r="BI41" i="40" s="1"/>
  <c r="CS35" i="37"/>
  <c r="CS26" i="37"/>
  <c r="CS59" i="37"/>
  <c r="CS41" i="37"/>
  <c r="CS83" i="37"/>
  <c r="BN19" i="40"/>
  <c r="BN23" i="40"/>
  <c r="BN31" i="40"/>
  <c r="BC18" i="40"/>
  <c r="BI18" i="40" s="1"/>
  <c r="BC20" i="40"/>
  <c r="BI20" i="40" s="1"/>
  <c r="BC22" i="40"/>
  <c r="BI22" i="40" s="1"/>
  <c r="CS28" i="37"/>
  <c r="CS85" i="37"/>
  <c r="CS56" i="37"/>
  <c r="CS27" i="37"/>
  <c r="CS55" i="37"/>
  <c r="CS38" i="37"/>
  <c r="AO64" i="36"/>
  <c r="BM51" i="40"/>
  <c r="BM47" i="40"/>
  <c r="BM48" i="40"/>
  <c r="BM49" i="40"/>
  <c r="CN70" i="37"/>
  <c r="CJ14" i="36"/>
  <c r="AO70" i="37"/>
  <c r="CE14" i="36"/>
  <c r="CN64" i="36"/>
  <c r="CI64" i="36"/>
  <c r="BI20" i="37"/>
  <c r="CF23" i="37"/>
  <c r="CI70" i="37"/>
  <c r="CN20" i="37"/>
  <c r="BI70" i="37"/>
  <c r="CI20" i="37"/>
  <c r="CE23" i="37"/>
  <c r="K23" i="37"/>
  <c r="CC64" i="36"/>
  <c r="G40" i="39"/>
  <c r="I42" i="39"/>
  <c r="H40" i="39"/>
  <c r="AN41" i="40"/>
  <c r="AT41" i="40" s="1"/>
  <c r="CC20" i="37"/>
  <c r="AO20" i="37"/>
  <c r="AN32" i="40"/>
  <c r="AT32" i="40" s="1"/>
  <c r="AN24" i="40"/>
  <c r="AT24" i="40" s="1"/>
  <c r="AN40" i="40"/>
  <c r="AT40" i="40" s="1"/>
  <c r="Y21" i="40"/>
  <c r="AE21" i="40" s="1"/>
  <c r="Y25" i="40"/>
  <c r="AE25" i="40" s="1"/>
  <c r="Y33" i="40"/>
  <c r="AE33" i="40" s="1"/>
  <c r="Y42" i="40"/>
  <c r="AE42" i="40" s="1"/>
  <c r="AN22" i="40"/>
  <c r="AT22" i="40" s="1"/>
  <c r="AN38" i="40"/>
  <c r="AT38" i="40" s="1"/>
  <c r="AN42" i="40"/>
  <c r="AT42" i="40" s="1"/>
  <c r="AN20" i="40"/>
  <c r="AT20" i="40" s="1"/>
  <c r="Y22" i="40"/>
  <c r="AE22" i="40" s="1"/>
  <c r="Y39" i="40"/>
  <c r="AE39" i="40" s="1"/>
  <c r="BI64" i="36"/>
  <c r="U64" i="36"/>
  <c r="Y41" i="40"/>
  <c r="AE41" i="40" s="1"/>
  <c r="BC24" i="40"/>
  <c r="BI24" i="40" s="1"/>
  <c r="BC38" i="40"/>
  <c r="BI38" i="40" s="1"/>
  <c r="BC32" i="40"/>
  <c r="BI32" i="40" s="1"/>
  <c r="BB48" i="40"/>
  <c r="Y20" i="40"/>
  <c r="AE20" i="40" s="1"/>
  <c r="Y24" i="40"/>
  <c r="AE24" i="40" s="1"/>
  <c r="Y32" i="40"/>
  <c r="AE32" i="40" s="1"/>
  <c r="Y40" i="40"/>
  <c r="AE40" i="40" s="1"/>
  <c r="AM51" i="40"/>
  <c r="AY48" i="40"/>
  <c r="AJ48" i="40"/>
  <c r="AM48" i="40"/>
  <c r="BB49" i="40"/>
  <c r="X47" i="40"/>
  <c r="X48" i="40"/>
  <c r="X49" i="40"/>
  <c r="AJ51" i="40"/>
  <c r="AY51" i="40"/>
  <c r="U49" i="40"/>
  <c r="AY47" i="40"/>
  <c r="U51" i="40"/>
  <c r="AJ47" i="40"/>
  <c r="BB47" i="40"/>
  <c r="AY49" i="40"/>
  <c r="BB51" i="40"/>
  <c r="U47" i="40"/>
  <c r="U48" i="40"/>
  <c r="X51" i="40"/>
  <c r="AM47" i="40"/>
  <c r="AJ49" i="40"/>
  <c r="AM49" i="40"/>
  <c r="U70" i="37"/>
  <c r="CC70" i="37"/>
  <c r="U20" i="37"/>
  <c r="J24" i="40"/>
  <c r="P24" i="40" s="1"/>
  <c r="J32" i="40"/>
  <c r="J21" i="40"/>
  <c r="J41" i="40"/>
  <c r="J33" i="40"/>
  <c r="J25" i="40"/>
  <c r="J39" i="40"/>
  <c r="J20" i="40"/>
  <c r="J40" i="40"/>
  <c r="J23" i="40"/>
  <c r="J31" i="40"/>
  <c r="J38" i="40"/>
  <c r="J22" i="40"/>
  <c r="J42" i="40"/>
  <c r="J19" i="40"/>
  <c r="H52" i="40"/>
  <c r="BP52" i="40" s="1"/>
  <c r="H51" i="40"/>
  <c r="BP51" i="40" s="1"/>
  <c r="H50" i="40"/>
  <c r="BP50" i="40" s="1"/>
  <c r="H49" i="40"/>
  <c r="BP49" i="40" s="1"/>
  <c r="H48" i="40"/>
  <c r="BP48" i="40" s="1"/>
  <c r="H47" i="40"/>
  <c r="BP47" i="40" s="1"/>
  <c r="H45" i="40"/>
  <c r="BP45" i="40" s="1"/>
  <c r="BR33" i="40" l="1"/>
  <c r="BR23" i="40"/>
  <c r="BR19" i="40"/>
  <c r="BX24" i="40"/>
  <c r="P23" i="40"/>
  <c r="BX23" i="40" s="1"/>
  <c r="BX18" i="40"/>
  <c r="BR18" i="40"/>
  <c r="P31" i="40"/>
  <c r="BX31" i="40" s="1"/>
  <c r="BR31" i="40"/>
  <c r="P32" i="40"/>
  <c r="BX32" i="40" s="1"/>
  <c r="BR32" i="40"/>
  <c r="P22" i="40"/>
  <c r="BX22" i="40" s="1"/>
  <c r="BR22" i="40"/>
  <c r="P21" i="40"/>
  <c r="BX21" i="40" s="1"/>
  <c r="BR21" i="40"/>
  <c r="BR24" i="40"/>
  <c r="P39" i="40"/>
  <c r="BX39" i="40" s="1"/>
  <c r="BR39" i="40"/>
  <c r="P42" i="40"/>
  <c r="BX42" i="40" s="1"/>
  <c r="BR42" i="40"/>
  <c r="P40" i="40"/>
  <c r="BX40" i="40" s="1"/>
  <c r="BR40" i="40"/>
  <c r="P41" i="40"/>
  <c r="BX41" i="40" s="1"/>
  <c r="BR41" i="40"/>
  <c r="P19" i="40"/>
  <c r="BX19" i="40" s="1"/>
  <c r="P33" i="40"/>
  <c r="BX33" i="40" s="1"/>
  <c r="P38" i="40"/>
  <c r="BX38" i="40" s="1"/>
  <c r="BR38" i="40"/>
  <c r="P20" i="40"/>
  <c r="BX20" i="40" s="1"/>
  <c r="BR20" i="40"/>
  <c r="P25" i="40"/>
  <c r="BX25" i="40" s="1"/>
  <c r="BR25" i="40"/>
  <c r="BC48" i="40"/>
  <c r="BI48" i="40" s="1"/>
  <c r="CK14" i="36"/>
  <c r="CS64" i="36"/>
  <c r="CS70" i="37"/>
  <c r="CI23" i="37"/>
  <c r="CS20" i="37"/>
  <c r="K40" i="39"/>
  <c r="J42" i="39"/>
  <c r="J40" i="39"/>
  <c r="BC47" i="40"/>
  <c r="BI47" i="40" s="1"/>
  <c r="BC51" i="40"/>
  <c r="BI51" i="40" s="1"/>
  <c r="AN48" i="40"/>
  <c r="AT48" i="40" s="1"/>
  <c r="AN51" i="40"/>
  <c r="AT51" i="40" s="1"/>
  <c r="AN49" i="40"/>
  <c r="AT49" i="40" s="1"/>
  <c r="Y47" i="40"/>
  <c r="AE47" i="40" s="1"/>
  <c r="Y49" i="40"/>
  <c r="AE49" i="40" s="1"/>
  <c r="BC49" i="40"/>
  <c r="BI49" i="40" s="1"/>
  <c r="Y48" i="40"/>
  <c r="AE48" i="40" s="1"/>
  <c r="Y51" i="40"/>
  <c r="AE51" i="40" s="1"/>
  <c r="AN47" i="40"/>
  <c r="AT47" i="40" s="1"/>
  <c r="AF41" i="44"/>
  <c r="AF45" i="44" s="1"/>
  <c r="AF47" i="44" s="1"/>
  <c r="AF41" i="45"/>
  <c r="AF45" i="45" s="1"/>
  <c r="AF47" i="45" s="1"/>
  <c r="AF41" i="46"/>
  <c r="AF45" i="46" s="1"/>
  <c r="AF47" i="46" s="1"/>
  <c r="AF41" i="47"/>
  <c r="AF45" i="47" s="1"/>
  <c r="AF47" i="47" s="1"/>
  <c r="AF41" i="48"/>
  <c r="AF45" i="48" s="1"/>
  <c r="AF47" i="48" s="1"/>
  <c r="CP14" i="36" l="1"/>
  <c r="CF14" i="36"/>
  <c r="CL14" i="36"/>
  <c r="K42" i="39"/>
  <c r="I40" i="39"/>
  <c r="N52" i="40"/>
  <c r="BV52" i="40" s="1"/>
  <c r="M52" i="40"/>
  <c r="BU52" i="40" s="1"/>
  <c r="L52" i="40"/>
  <c r="BT52" i="40" s="1"/>
  <c r="N51" i="40"/>
  <c r="BV51" i="40" s="1"/>
  <c r="M51" i="40"/>
  <c r="BU51" i="40" s="1"/>
  <c r="L51" i="40"/>
  <c r="BT51" i="40" s="1"/>
  <c r="K51" i="40"/>
  <c r="BS51" i="40" s="1"/>
  <c r="G51" i="40"/>
  <c r="D51" i="40"/>
  <c r="N50" i="40"/>
  <c r="BV50" i="40" s="1"/>
  <c r="M50" i="40"/>
  <c r="BU50" i="40" s="1"/>
  <c r="L50" i="40"/>
  <c r="BT50" i="40" s="1"/>
  <c r="K50" i="40"/>
  <c r="BS50" i="40" s="1"/>
  <c r="N49" i="40"/>
  <c r="BV49" i="40" s="1"/>
  <c r="M49" i="40"/>
  <c r="BU49" i="40" s="1"/>
  <c r="L49" i="40"/>
  <c r="BT49" i="40" s="1"/>
  <c r="K49" i="40"/>
  <c r="BS49" i="40" s="1"/>
  <c r="G49" i="40"/>
  <c r="D49" i="40"/>
  <c r="N48" i="40"/>
  <c r="BV48" i="40" s="1"/>
  <c r="M48" i="40"/>
  <c r="BU48" i="40" s="1"/>
  <c r="L48" i="40"/>
  <c r="BT48" i="40" s="1"/>
  <c r="K48" i="40"/>
  <c r="BS48" i="40" s="1"/>
  <c r="G48" i="40"/>
  <c r="D48" i="40"/>
  <c r="N47" i="40"/>
  <c r="BV47" i="40" s="1"/>
  <c r="M47" i="40"/>
  <c r="BU47" i="40" s="1"/>
  <c r="L47" i="40"/>
  <c r="BT47" i="40" s="1"/>
  <c r="K47" i="40"/>
  <c r="BS47" i="40" s="1"/>
  <c r="G47" i="40"/>
  <c r="D47" i="40"/>
  <c r="I47" i="40" l="1"/>
  <c r="BQ47" i="40" s="1"/>
  <c r="BO47" i="40"/>
  <c r="I51" i="40"/>
  <c r="BQ51" i="40" s="1"/>
  <c r="BO51" i="40"/>
  <c r="F48" i="40"/>
  <c r="BN48" i="40" s="1"/>
  <c r="BL48" i="40"/>
  <c r="F51" i="40"/>
  <c r="BN51" i="40" s="1"/>
  <c r="BL51" i="40"/>
  <c r="F47" i="40"/>
  <c r="BN47" i="40" s="1"/>
  <c r="BL47" i="40"/>
  <c r="I48" i="40"/>
  <c r="BQ48" i="40" s="1"/>
  <c r="BO48" i="40"/>
  <c r="F49" i="40"/>
  <c r="BN49" i="40" s="1"/>
  <c r="BL49" i="40"/>
  <c r="I49" i="40"/>
  <c r="BQ49" i="40" s="1"/>
  <c r="BO49" i="40"/>
  <c r="CG14" i="36"/>
  <c r="CQ14" i="36"/>
  <c r="CN14" i="36"/>
  <c r="CM14" i="36"/>
  <c r="D25" i="13"/>
  <c r="C25" i="13"/>
  <c r="C76" i="12"/>
  <c r="C67" i="12"/>
  <c r="B25" i="13" s="1"/>
  <c r="J48" i="40" l="1"/>
  <c r="BR48" i="40" s="1"/>
  <c r="J47" i="40"/>
  <c r="C78" i="12"/>
  <c r="J51" i="40"/>
  <c r="BR51" i="40" s="1"/>
  <c r="J49" i="40"/>
  <c r="BR49" i="40" s="1"/>
  <c r="CI14" i="36"/>
  <c r="CH14" i="36"/>
  <c r="CR14" i="36"/>
  <c r="L45" i="40"/>
  <c r="BT45" i="40" s="1"/>
  <c r="M45" i="40"/>
  <c r="BU45" i="40" s="1"/>
  <c r="N45" i="40"/>
  <c r="BV45" i="40" s="1"/>
  <c r="BR47" i="40" l="1"/>
  <c r="P47" i="40"/>
  <c r="CS14" i="36"/>
  <c r="AH39" i="45"/>
  <c r="AF26" i="28"/>
  <c r="AG26" i="28"/>
  <c r="AH26" i="28"/>
  <c r="AI26" i="28"/>
  <c r="V26" i="28"/>
  <c r="W26" i="28"/>
  <c r="X26" i="28"/>
  <c r="Y26" i="28"/>
  <c r="Z26" i="28"/>
  <c r="K27" i="28"/>
  <c r="K26" i="28"/>
  <c r="AJ26" i="28" s="1"/>
  <c r="CK46" i="36" l="1"/>
  <c r="S29" i="40" s="1"/>
  <c r="CJ46" i="36"/>
  <c r="D29" i="40" s="1"/>
  <c r="AN46" i="36"/>
  <c r="BH46" i="36"/>
  <c r="T46" i="36"/>
  <c r="U29" i="40" l="1"/>
  <c r="F29" i="40"/>
  <c r="D3" i="39" l="1"/>
  <c r="D6" i="39"/>
  <c r="D5" i="39"/>
  <c r="D2" i="39"/>
  <c r="D4" i="39" l="1"/>
  <c r="Z30" i="28" l="1"/>
  <c r="Y30" i="28"/>
  <c r="X30" i="28"/>
  <c r="W30" i="28"/>
  <c r="V30" i="28"/>
  <c r="K30" i="28"/>
  <c r="Z29" i="28"/>
  <c r="Y29" i="28"/>
  <c r="X29" i="28"/>
  <c r="W29" i="28"/>
  <c r="V29" i="28"/>
  <c r="K29" i="28"/>
  <c r="Z28" i="28"/>
  <c r="Y28" i="28"/>
  <c r="X28" i="28"/>
  <c r="W28" i="28"/>
  <c r="V28" i="28"/>
  <c r="K28" i="28"/>
  <c r="B6" i="50"/>
  <c r="B5" i="50"/>
  <c r="B3" i="50"/>
  <c r="B2" i="50"/>
  <c r="B4" i="50"/>
  <c r="AH46" i="48" l="1"/>
  <c r="AH44" i="48"/>
  <c r="AH42" i="48"/>
  <c r="AG41" i="48"/>
  <c r="AG45" i="48" s="1"/>
  <c r="AG47" i="48" s="1"/>
  <c r="AE41" i="48"/>
  <c r="AE45" i="48" s="1"/>
  <c r="AE47" i="48" s="1"/>
  <c r="AD41" i="48"/>
  <c r="AD45" i="48" s="1"/>
  <c r="AD47" i="48" s="1"/>
  <c r="AC41" i="48"/>
  <c r="AC45" i="48" s="1"/>
  <c r="AC47" i="48" s="1"/>
  <c r="AB41" i="48"/>
  <c r="AB45" i="48" s="1"/>
  <c r="AB47" i="48" s="1"/>
  <c r="AA41" i="48"/>
  <c r="AA45" i="48" s="1"/>
  <c r="AA47" i="48" s="1"/>
  <c r="Z41" i="48"/>
  <c r="Z45" i="48" s="1"/>
  <c r="Z47" i="48" s="1"/>
  <c r="Y41" i="48"/>
  <c r="Y45" i="48" s="1"/>
  <c r="Y47" i="48" s="1"/>
  <c r="X41" i="48"/>
  <c r="X45" i="48" s="1"/>
  <c r="X47" i="48" s="1"/>
  <c r="W41" i="48"/>
  <c r="W45" i="48" s="1"/>
  <c r="W47" i="48" s="1"/>
  <c r="V41" i="48"/>
  <c r="V45" i="48" s="1"/>
  <c r="V47" i="48" s="1"/>
  <c r="U41" i="48"/>
  <c r="U45" i="48" s="1"/>
  <c r="U47" i="48" s="1"/>
  <c r="T41" i="48"/>
  <c r="T45" i="48" s="1"/>
  <c r="T47" i="48" s="1"/>
  <c r="S41" i="48"/>
  <c r="S45" i="48" s="1"/>
  <c r="S47" i="48" s="1"/>
  <c r="R41" i="48"/>
  <c r="R45" i="48" s="1"/>
  <c r="R47" i="48" s="1"/>
  <c r="Q41" i="48"/>
  <c r="Q45" i="48" s="1"/>
  <c r="Q47" i="48" s="1"/>
  <c r="P41" i="48"/>
  <c r="P45" i="48" s="1"/>
  <c r="P47" i="48" s="1"/>
  <c r="O41" i="48"/>
  <c r="O45" i="48" s="1"/>
  <c r="O47" i="48" s="1"/>
  <c r="N41" i="48"/>
  <c r="N45" i="48" s="1"/>
  <c r="N47" i="48" s="1"/>
  <c r="M41" i="48"/>
  <c r="M45" i="48" s="1"/>
  <c r="M47" i="48" s="1"/>
  <c r="L41" i="48"/>
  <c r="L45" i="48" s="1"/>
  <c r="L47" i="48" s="1"/>
  <c r="K41" i="48"/>
  <c r="K45" i="48" s="1"/>
  <c r="K47" i="48" s="1"/>
  <c r="J41" i="48"/>
  <c r="J45" i="48" s="1"/>
  <c r="J47" i="48" s="1"/>
  <c r="I41" i="48"/>
  <c r="I45" i="48" s="1"/>
  <c r="I47" i="48" s="1"/>
  <c r="H41" i="48"/>
  <c r="H45" i="48" s="1"/>
  <c r="H47" i="48" s="1"/>
  <c r="G41" i="48"/>
  <c r="G45" i="48" s="1"/>
  <c r="G47" i="48" s="1"/>
  <c r="F41" i="48"/>
  <c r="F45" i="48" s="1"/>
  <c r="F47" i="48" s="1"/>
  <c r="E41" i="48"/>
  <c r="E45" i="48" s="1"/>
  <c r="E47" i="48" s="1"/>
  <c r="D41" i="48"/>
  <c r="D45" i="48" s="1"/>
  <c r="D47" i="48" s="1"/>
  <c r="C41" i="48"/>
  <c r="C45" i="48" s="1"/>
  <c r="C47" i="48" s="1"/>
  <c r="AH40" i="48"/>
  <c r="AH39" i="48"/>
  <c r="AH38" i="48"/>
  <c r="AH37" i="48"/>
  <c r="AH36" i="48"/>
  <c r="AH35" i="48"/>
  <c r="AH34" i="48"/>
  <c r="AH33" i="48"/>
  <c r="AH32" i="48"/>
  <c r="AH31" i="48"/>
  <c r="AH30" i="48"/>
  <c r="AH29" i="48"/>
  <c r="AH28" i="48"/>
  <c r="AH27" i="48"/>
  <c r="AH26" i="48"/>
  <c r="AH25" i="48"/>
  <c r="AH24" i="48"/>
  <c r="AH23" i="48"/>
  <c r="AH22" i="48"/>
  <c r="AH21" i="48"/>
  <c r="AH20" i="48"/>
  <c r="AH19" i="48"/>
  <c r="AH18" i="48"/>
  <c r="AH17" i="48"/>
  <c r="AH16" i="48"/>
  <c r="AH15" i="48"/>
  <c r="AH14" i="48"/>
  <c r="AH13" i="48"/>
  <c r="AH12" i="48"/>
  <c r="AH11" i="48"/>
  <c r="B11" i="48"/>
  <c r="B12" i="48" s="1"/>
  <c r="B13" i="48" s="1"/>
  <c r="B14" i="48" s="1"/>
  <c r="B15" i="48" s="1"/>
  <c r="B16" i="48" s="1"/>
  <c r="B17" i="48" s="1"/>
  <c r="B18" i="48" s="1"/>
  <c r="B19" i="48" s="1"/>
  <c r="B20" i="48" s="1"/>
  <c r="B21" i="48" s="1"/>
  <c r="B22" i="48" s="1"/>
  <c r="B23" i="48" s="1"/>
  <c r="B24" i="48" s="1"/>
  <c r="B25" i="48" s="1"/>
  <c r="B26" i="48" s="1"/>
  <c r="B27" i="48" s="1"/>
  <c r="B28" i="48" s="1"/>
  <c r="B29" i="48" s="1"/>
  <c r="B30" i="48" s="1"/>
  <c r="B31" i="48" s="1"/>
  <c r="B32" i="48" s="1"/>
  <c r="B33" i="48" s="1"/>
  <c r="B34" i="48" s="1"/>
  <c r="B35" i="48" s="1"/>
  <c r="B36" i="48" s="1"/>
  <c r="B37" i="48" s="1"/>
  <c r="B38" i="48" s="1"/>
  <c r="B39" i="48" s="1"/>
  <c r="AH10" i="48"/>
  <c r="AH46" i="47"/>
  <c r="AH44" i="47"/>
  <c r="AH42" i="47"/>
  <c r="AG41" i="47"/>
  <c r="AG45" i="47" s="1"/>
  <c r="AG47" i="47" s="1"/>
  <c r="AE41" i="47"/>
  <c r="AE45" i="47" s="1"/>
  <c r="AE47" i="47" s="1"/>
  <c r="AD41" i="47"/>
  <c r="AD45" i="47" s="1"/>
  <c r="AD47" i="47" s="1"/>
  <c r="AC41" i="47"/>
  <c r="AC45" i="47" s="1"/>
  <c r="AC47" i="47" s="1"/>
  <c r="AB41" i="47"/>
  <c r="AB45" i="47" s="1"/>
  <c r="AB47" i="47" s="1"/>
  <c r="AA41" i="47"/>
  <c r="AA45" i="47" s="1"/>
  <c r="AA47" i="47" s="1"/>
  <c r="Z41" i="47"/>
  <c r="Z45" i="47" s="1"/>
  <c r="Z47" i="47" s="1"/>
  <c r="Y41" i="47"/>
  <c r="Y45" i="47" s="1"/>
  <c r="Y47" i="47" s="1"/>
  <c r="X41" i="47"/>
  <c r="X45" i="47" s="1"/>
  <c r="X47" i="47" s="1"/>
  <c r="W41" i="47"/>
  <c r="W45" i="47" s="1"/>
  <c r="W47" i="47" s="1"/>
  <c r="V41" i="47"/>
  <c r="V45" i="47" s="1"/>
  <c r="V47" i="47" s="1"/>
  <c r="U41" i="47"/>
  <c r="U45" i="47" s="1"/>
  <c r="U47" i="47" s="1"/>
  <c r="T41" i="47"/>
  <c r="T45" i="47" s="1"/>
  <c r="T47" i="47" s="1"/>
  <c r="S41" i="47"/>
  <c r="S45" i="47" s="1"/>
  <c r="S47" i="47" s="1"/>
  <c r="R41" i="47"/>
  <c r="R45" i="47" s="1"/>
  <c r="R47" i="47" s="1"/>
  <c r="Q41" i="47"/>
  <c r="Q45" i="47" s="1"/>
  <c r="Q47" i="47" s="1"/>
  <c r="P41" i="47"/>
  <c r="P45" i="47" s="1"/>
  <c r="P47" i="47" s="1"/>
  <c r="O41" i="47"/>
  <c r="O45" i="47" s="1"/>
  <c r="O47" i="47" s="1"/>
  <c r="N41" i="47"/>
  <c r="N45" i="47" s="1"/>
  <c r="N47" i="47" s="1"/>
  <c r="M41" i="47"/>
  <c r="M45" i="47" s="1"/>
  <c r="M47" i="47" s="1"/>
  <c r="L41" i="47"/>
  <c r="L45" i="47" s="1"/>
  <c r="L47" i="47" s="1"/>
  <c r="K41" i="47"/>
  <c r="K45" i="47" s="1"/>
  <c r="K47" i="47" s="1"/>
  <c r="J41" i="47"/>
  <c r="J45" i="47" s="1"/>
  <c r="J47" i="47" s="1"/>
  <c r="I41" i="47"/>
  <c r="I45" i="47" s="1"/>
  <c r="I47" i="47" s="1"/>
  <c r="H41" i="47"/>
  <c r="H45" i="47" s="1"/>
  <c r="H47" i="47" s="1"/>
  <c r="G41" i="47"/>
  <c r="G45" i="47" s="1"/>
  <c r="G47" i="47" s="1"/>
  <c r="F41" i="47"/>
  <c r="F45" i="47" s="1"/>
  <c r="F47" i="47" s="1"/>
  <c r="E41" i="47"/>
  <c r="E45" i="47" s="1"/>
  <c r="E47" i="47" s="1"/>
  <c r="D41" i="47"/>
  <c r="D45" i="47" s="1"/>
  <c r="D47" i="47" s="1"/>
  <c r="C41" i="47"/>
  <c r="C45" i="47" s="1"/>
  <c r="C47" i="47" s="1"/>
  <c r="AH40" i="47"/>
  <c r="AH39" i="47"/>
  <c r="AH38" i="47"/>
  <c r="AH37" i="47"/>
  <c r="AH36" i="47"/>
  <c r="AH35" i="47"/>
  <c r="AH34" i="47"/>
  <c r="AH33" i="47"/>
  <c r="AH32" i="47"/>
  <c r="AH31" i="47"/>
  <c r="AH30" i="47"/>
  <c r="AH29" i="47"/>
  <c r="AH28" i="47"/>
  <c r="AH27" i="47"/>
  <c r="AH26" i="47"/>
  <c r="AH25" i="47"/>
  <c r="AH24" i="47"/>
  <c r="AH23" i="47"/>
  <c r="AH22" i="47"/>
  <c r="AH21" i="47"/>
  <c r="AH20" i="47"/>
  <c r="AH19" i="47"/>
  <c r="AH18" i="47"/>
  <c r="AH17" i="47"/>
  <c r="AH16" i="47"/>
  <c r="AH15" i="47"/>
  <c r="AH14" i="47"/>
  <c r="AH13" i="47"/>
  <c r="AH12" i="47"/>
  <c r="AH11" i="47"/>
  <c r="B11" i="47"/>
  <c r="B12" i="47" s="1"/>
  <c r="B13" i="47" s="1"/>
  <c r="B14" i="47" s="1"/>
  <c r="B15" i="47" s="1"/>
  <c r="B16" i="47" s="1"/>
  <c r="B17" i="47" s="1"/>
  <c r="B18" i="47" s="1"/>
  <c r="B19" i="47" s="1"/>
  <c r="B20" i="47" s="1"/>
  <c r="B21" i="47" s="1"/>
  <c r="B22" i="47" s="1"/>
  <c r="B23" i="47" s="1"/>
  <c r="B24" i="47" s="1"/>
  <c r="B25" i="47" s="1"/>
  <c r="B26" i="47" s="1"/>
  <c r="B27" i="47" s="1"/>
  <c r="B28" i="47" s="1"/>
  <c r="B29" i="47" s="1"/>
  <c r="B30" i="47" s="1"/>
  <c r="B31" i="47" s="1"/>
  <c r="B32" i="47" s="1"/>
  <c r="B33" i="47" s="1"/>
  <c r="B34" i="47" s="1"/>
  <c r="B35" i="47" s="1"/>
  <c r="B36" i="47" s="1"/>
  <c r="B37" i="47" s="1"/>
  <c r="B38" i="47" s="1"/>
  <c r="B39" i="47" s="1"/>
  <c r="AH10" i="47"/>
  <c r="AH46" i="46"/>
  <c r="AH44" i="46"/>
  <c r="AH42" i="46"/>
  <c r="AG41" i="46"/>
  <c r="AG45" i="46" s="1"/>
  <c r="AG47" i="46" s="1"/>
  <c r="AE41" i="46"/>
  <c r="AE45" i="46" s="1"/>
  <c r="AE47" i="46" s="1"/>
  <c r="AD41" i="46"/>
  <c r="AD45" i="46" s="1"/>
  <c r="AD47" i="46" s="1"/>
  <c r="AC41" i="46"/>
  <c r="AC45" i="46" s="1"/>
  <c r="AC47" i="46" s="1"/>
  <c r="AB41" i="46"/>
  <c r="AB45" i="46" s="1"/>
  <c r="AB47" i="46" s="1"/>
  <c r="AA41" i="46"/>
  <c r="AA45" i="46" s="1"/>
  <c r="AA47" i="46" s="1"/>
  <c r="Z41" i="46"/>
  <c r="Z45" i="46" s="1"/>
  <c r="Z47" i="46" s="1"/>
  <c r="Y41" i="46"/>
  <c r="Y45" i="46" s="1"/>
  <c r="Y47" i="46" s="1"/>
  <c r="X41" i="46"/>
  <c r="X45" i="46" s="1"/>
  <c r="X47" i="46" s="1"/>
  <c r="W41" i="46"/>
  <c r="W45" i="46" s="1"/>
  <c r="W47" i="46" s="1"/>
  <c r="V41" i="46"/>
  <c r="V45" i="46" s="1"/>
  <c r="V47" i="46" s="1"/>
  <c r="U41" i="46"/>
  <c r="U45" i="46" s="1"/>
  <c r="U47" i="46" s="1"/>
  <c r="T41" i="46"/>
  <c r="T45" i="46" s="1"/>
  <c r="T47" i="46" s="1"/>
  <c r="S41" i="46"/>
  <c r="S45" i="46" s="1"/>
  <c r="S47" i="46" s="1"/>
  <c r="R41" i="46"/>
  <c r="R45" i="46" s="1"/>
  <c r="R47" i="46" s="1"/>
  <c r="Q41" i="46"/>
  <c r="Q45" i="46" s="1"/>
  <c r="Q47" i="46" s="1"/>
  <c r="P41" i="46"/>
  <c r="P45" i="46" s="1"/>
  <c r="P47" i="46" s="1"/>
  <c r="O41" i="46"/>
  <c r="O45" i="46" s="1"/>
  <c r="O47" i="46" s="1"/>
  <c r="N41" i="46"/>
  <c r="N45" i="46" s="1"/>
  <c r="N47" i="46" s="1"/>
  <c r="M41" i="46"/>
  <c r="M45" i="46" s="1"/>
  <c r="M47" i="46" s="1"/>
  <c r="L41" i="46"/>
  <c r="L45" i="46" s="1"/>
  <c r="L47" i="46" s="1"/>
  <c r="K41" i="46"/>
  <c r="K45" i="46" s="1"/>
  <c r="K47" i="46" s="1"/>
  <c r="J41" i="46"/>
  <c r="J45" i="46" s="1"/>
  <c r="J47" i="46" s="1"/>
  <c r="I41" i="46"/>
  <c r="I45" i="46" s="1"/>
  <c r="I47" i="46" s="1"/>
  <c r="H41" i="46"/>
  <c r="H45" i="46" s="1"/>
  <c r="H47" i="46" s="1"/>
  <c r="G41" i="46"/>
  <c r="G45" i="46" s="1"/>
  <c r="G47" i="46" s="1"/>
  <c r="F41" i="46"/>
  <c r="F45" i="46" s="1"/>
  <c r="F47" i="46" s="1"/>
  <c r="E41" i="46"/>
  <c r="E45" i="46" s="1"/>
  <c r="E47" i="46" s="1"/>
  <c r="D41" i="46"/>
  <c r="D45" i="46" s="1"/>
  <c r="D47" i="46" s="1"/>
  <c r="C41" i="46"/>
  <c r="C45" i="46" s="1"/>
  <c r="C47" i="46" s="1"/>
  <c r="AH40" i="46"/>
  <c r="AH39" i="46"/>
  <c r="AH38" i="46"/>
  <c r="AH37" i="46"/>
  <c r="AH36" i="46"/>
  <c r="AH35" i="46"/>
  <c r="AH34" i="46"/>
  <c r="AH33" i="46"/>
  <c r="AH32" i="46"/>
  <c r="AH31" i="46"/>
  <c r="AH30" i="46"/>
  <c r="AH29" i="46"/>
  <c r="AH28" i="46"/>
  <c r="AH27" i="46"/>
  <c r="AH26" i="46"/>
  <c r="AH25" i="46"/>
  <c r="AH24" i="46"/>
  <c r="AH23" i="46"/>
  <c r="AH22" i="46"/>
  <c r="AH21" i="46"/>
  <c r="AH20" i="46"/>
  <c r="AH19" i="46"/>
  <c r="AH18" i="46"/>
  <c r="AH17" i="46"/>
  <c r="AH16" i="46"/>
  <c r="AH15" i="46"/>
  <c r="AH14" i="46"/>
  <c r="AH13" i="46"/>
  <c r="AH12" i="46"/>
  <c r="AH11" i="46"/>
  <c r="B11" i="46"/>
  <c r="B12" i="46" s="1"/>
  <c r="B13" i="46" s="1"/>
  <c r="B14" i="46" s="1"/>
  <c r="B15" i="46" s="1"/>
  <c r="B16" i="46" s="1"/>
  <c r="B17" i="46" s="1"/>
  <c r="B18" i="46" s="1"/>
  <c r="B19" i="46" s="1"/>
  <c r="B20" i="46" s="1"/>
  <c r="B21" i="46" s="1"/>
  <c r="B22" i="46" s="1"/>
  <c r="B23" i="46" s="1"/>
  <c r="B24" i="46" s="1"/>
  <c r="B25" i="46" s="1"/>
  <c r="B26" i="46" s="1"/>
  <c r="B27" i="46" s="1"/>
  <c r="B28" i="46" s="1"/>
  <c r="B29" i="46" s="1"/>
  <c r="B30" i="46" s="1"/>
  <c r="B31" i="46" s="1"/>
  <c r="B32" i="46" s="1"/>
  <c r="B33" i="46" s="1"/>
  <c r="B34" i="46" s="1"/>
  <c r="B35" i="46" s="1"/>
  <c r="B36" i="46" s="1"/>
  <c r="B37" i="46" s="1"/>
  <c r="B38" i="46" s="1"/>
  <c r="B39" i="46" s="1"/>
  <c r="AH10" i="46"/>
  <c r="B11" i="45"/>
  <c r="B10" i="45" s="1"/>
  <c r="AH41" i="47" l="1"/>
  <c r="AH45" i="47" s="1"/>
  <c r="AH47" i="47" s="1"/>
  <c r="AH41" i="48"/>
  <c r="AH45" i="48" s="1"/>
  <c r="AH47" i="48" s="1"/>
  <c r="AH41" i="46"/>
  <c r="AH45" i="46" s="1"/>
  <c r="AH47" i="46" s="1"/>
  <c r="B10" i="48"/>
  <c r="C9" i="48" s="1" a="1"/>
  <c r="B10" i="47"/>
  <c r="C9" i="47" s="1" a="1"/>
  <c r="B10" i="46"/>
  <c r="C9" i="46" s="1" a="1"/>
  <c r="B12" i="45"/>
  <c r="B13" i="45" s="1"/>
  <c r="B14" i="45" s="1"/>
  <c r="B15" i="45" s="1"/>
  <c r="B16" i="45" s="1"/>
  <c r="B17" i="45" s="1"/>
  <c r="B18" i="45" s="1"/>
  <c r="B19" i="45" s="1"/>
  <c r="B20" i="45" s="1"/>
  <c r="B21" i="45" s="1"/>
  <c r="B22" i="45" s="1"/>
  <c r="B23" i="45" s="1"/>
  <c r="B24" i="45" s="1"/>
  <c r="B25" i="45" s="1"/>
  <c r="B26" i="45" s="1"/>
  <c r="B27" i="45" s="1"/>
  <c r="B28" i="45" s="1"/>
  <c r="B29" i="45" s="1"/>
  <c r="B30" i="45" s="1"/>
  <c r="B31" i="45" s="1"/>
  <c r="B32" i="45" s="1"/>
  <c r="B33" i="45" s="1"/>
  <c r="B34" i="45" s="1"/>
  <c r="B35" i="45" s="1"/>
  <c r="B36" i="45" s="1"/>
  <c r="B37" i="45" s="1"/>
  <c r="B38" i="45" s="1"/>
  <c r="B39" i="45" s="1"/>
  <c r="AH11" i="44"/>
  <c r="B11" i="44"/>
  <c r="B10" i="44" s="1"/>
  <c r="AC9" i="48" l="1"/>
  <c r="Y9" i="48"/>
  <c r="U9" i="48"/>
  <c r="Q9" i="48"/>
  <c r="M9" i="48"/>
  <c r="I9" i="48"/>
  <c r="E9" i="48"/>
  <c r="AF9" i="48"/>
  <c r="AB9" i="48"/>
  <c r="X9" i="48"/>
  <c r="T9" i="48"/>
  <c r="P9" i="48"/>
  <c r="L9" i="48"/>
  <c r="H9" i="48"/>
  <c r="D9" i="48"/>
  <c r="AD9" i="48"/>
  <c r="Z9" i="48"/>
  <c r="R9" i="48"/>
  <c r="J9" i="48"/>
  <c r="AE9" i="48"/>
  <c r="AA9" i="48"/>
  <c r="W9" i="48"/>
  <c r="S9" i="48"/>
  <c r="O9" i="48"/>
  <c r="K9" i="48"/>
  <c r="G9" i="48"/>
  <c r="C9" i="48"/>
  <c r="V9" i="48"/>
  <c r="N9" i="48"/>
  <c r="F9" i="48"/>
  <c r="AC9" i="47"/>
  <c r="Y9" i="47"/>
  <c r="U9" i="47"/>
  <c r="Q9" i="47"/>
  <c r="M9" i="47"/>
  <c r="I9" i="47"/>
  <c r="E9" i="47"/>
  <c r="V9" i="47"/>
  <c r="F9" i="47"/>
  <c r="AF9" i="47"/>
  <c r="AB9" i="47"/>
  <c r="X9" i="47"/>
  <c r="T9" i="47"/>
  <c r="P9" i="47"/>
  <c r="L9" i="47"/>
  <c r="H9" i="47"/>
  <c r="D9" i="47"/>
  <c r="AE9" i="47"/>
  <c r="AA9" i="47"/>
  <c r="W9" i="47"/>
  <c r="S9" i="47"/>
  <c r="O9" i="47"/>
  <c r="K9" i="47"/>
  <c r="G9" i="47"/>
  <c r="J9" i="47"/>
  <c r="AD9" i="47"/>
  <c r="Z9" i="47"/>
  <c r="R9" i="47"/>
  <c r="N9" i="47"/>
  <c r="C9" i="47"/>
  <c r="AC9" i="46"/>
  <c r="Y9" i="46"/>
  <c r="U9" i="46"/>
  <c r="Q9" i="46"/>
  <c r="M9" i="46"/>
  <c r="I9" i="46"/>
  <c r="E9" i="46"/>
  <c r="Z9" i="46"/>
  <c r="V9" i="46"/>
  <c r="N9" i="46"/>
  <c r="AF9" i="46"/>
  <c r="AB9" i="46"/>
  <c r="X9" i="46"/>
  <c r="T9" i="46"/>
  <c r="P9" i="46"/>
  <c r="L9" i="46"/>
  <c r="H9" i="46"/>
  <c r="D9" i="46"/>
  <c r="AE9" i="46"/>
  <c r="AA9" i="46"/>
  <c r="W9" i="46"/>
  <c r="S9" i="46"/>
  <c r="O9" i="46"/>
  <c r="K9" i="46"/>
  <c r="G9" i="46"/>
  <c r="C9" i="46"/>
  <c r="F9" i="46"/>
  <c r="AD9" i="46"/>
  <c r="R9" i="46"/>
  <c r="J9" i="46"/>
  <c r="C9" i="45" a="1"/>
  <c r="B12" i="44"/>
  <c r="AF9" i="45" l="1"/>
  <c r="Q9" i="45"/>
  <c r="F9" i="45"/>
  <c r="AD9" i="45"/>
  <c r="O9" i="45"/>
  <c r="AE9" i="45"/>
  <c r="H9" i="45"/>
  <c r="X9" i="45"/>
  <c r="M9" i="45"/>
  <c r="AC9" i="45"/>
  <c r="Z9" i="45"/>
  <c r="K9" i="45"/>
  <c r="AA9" i="45"/>
  <c r="D9" i="45"/>
  <c r="T9" i="45"/>
  <c r="E9" i="45"/>
  <c r="U9" i="45"/>
  <c r="N9" i="45"/>
  <c r="C9" i="45"/>
  <c r="S9" i="45"/>
  <c r="J9" i="45"/>
  <c r="L9" i="45"/>
  <c r="AB9" i="45"/>
  <c r="I9" i="45"/>
  <c r="Y9" i="45"/>
  <c r="V9" i="45"/>
  <c r="G9" i="45"/>
  <c r="W9" i="45"/>
  <c r="R9" i="45"/>
  <c r="P9" i="45"/>
  <c r="AG41" i="45"/>
  <c r="AG45" i="45" s="1"/>
  <c r="AG41" i="44"/>
  <c r="AG45" i="44" s="1"/>
  <c r="D41" i="44" l="1"/>
  <c r="D45" i="44" s="1"/>
  <c r="D41" i="45"/>
  <c r="AE41" i="45"/>
  <c r="AE41" i="44"/>
  <c r="AE45" i="44" s="1"/>
  <c r="AE47" i="44" s="1"/>
  <c r="AD41" i="45"/>
  <c r="AD45" i="45" s="1"/>
  <c r="AD47" i="45" s="1"/>
  <c r="AD41" i="44"/>
  <c r="AD45" i="44" s="1"/>
  <c r="AD47" i="44" s="1"/>
  <c r="E41" i="45"/>
  <c r="F41" i="45"/>
  <c r="G41" i="45"/>
  <c r="H41" i="45"/>
  <c r="I41" i="45"/>
  <c r="J41" i="45"/>
  <c r="K41" i="45"/>
  <c r="L41" i="45"/>
  <c r="M41" i="45"/>
  <c r="N41" i="45"/>
  <c r="O41" i="45"/>
  <c r="P41" i="45"/>
  <c r="Q41" i="45"/>
  <c r="R41" i="45"/>
  <c r="S41" i="45"/>
  <c r="T41" i="45"/>
  <c r="U41" i="45"/>
  <c r="V41" i="45"/>
  <c r="W41" i="45"/>
  <c r="X41" i="45"/>
  <c r="Y41" i="45"/>
  <c r="Z41" i="45"/>
  <c r="AA41" i="45"/>
  <c r="AB41" i="45"/>
  <c r="AC41" i="45"/>
  <c r="E41" i="44"/>
  <c r="F41" i="44"/>
  <c r="F45" i="44" s="1"/>
  <c r="G41" i="44"/>
  <c r="H41" i="44"/>
  <c r="I41" i="44"/>
  <c r="J41" i="44"/>
  <c r="K41" i="44"/>
  <c r="L41" i="44"/>
  <c r="M41" i="44"/>
  <c r="N41" i="44"/>
  <c r="O41" i="44"/>
  <c r="P41" i="44"/>
  <c r="Q41" i="44"/>
  <c r="R41" i="44"/>
  <c r="S41" i="44"/>
  <c r="T41" i="44"/>
  <c r="U41" i="44"/>
  <c r="V41" i="44"/>
  <c r="W41" i="44"/>
  <c r="X41" i="44"/>
  <c r="Y41" i="44"/>
  <c r="Z41" i="44"/>
  <c r="AA41" i="44"/>
  <c r="AB41" i="44"/>
  <c r="AC41" i="44"/>
  <c r="C41" i="45"/>
  <c r="C41" i="44"/>
  <c r="C45" i="44" s="1"/>
  <c r="AE45" i="45"/>
  <c r="AE47" i="45" s="1"/>
  <c r="AG47" i="45"/>
  <c r="AH44" i="45"/>
  <c r="AH42" i="45"/>
  <c r="AH40" i="45"/>
  <c r="AH46" i="44"/>
  <c r="AG47" i="44"/>
  <c r="AH40" i="44"/>
  <c r="AH39" i="44"/>
  <c r="B6" i="7"/>
  <c r="B5" i="7"/>
  <c r="B4" i="7"/>
  <c r="B3" i="7"/>
  <c r="B2" i="7"/>
  <c r="D6" i="40"/>
  <c r="D5" i="40"/>
  <c r="D4" i="40"/>
  <c r="D2" i="40"/>
  <c r="D3" i="40"/>
  <c r="D6" i="49" l="1"/>
  <c r="D5" i="49"/>
  <c r="D4" i="49"/>
  <c r="D3" i="49"/>
  <c r="D2" i="49"/>
  <c r="I100" i="49" l="1"/>
  <c r="H100" i="49"/>
  <c r="G100" i="49"/>
  <c r="F100" i="49"/>
  <c r="J98" i="49"/>
  <c r="J97" i="49"/>
  <c r="J96" i="49"/>
  <c r="J95" i="49"/>
  <c r="J94" i="49"/>
  <c r="J93" i="49"/>
  <c r="J92" i="49"/>
  <c r="J91" i="49"/>
  <c r="J90" i="49"/>
  <c r="J89" i="49"/>
  <c r="J88" i="49"/>
  <c r="J87" i="49"/>
  <c r="J86" i="49"/>
  <c r="J85" i="49"/>
  <c r="J84" i="49"/>
  <c r="J83" i="49"/>
  <c r="J82" i="49"/>
  <c r="J81" i="49"/>
  <c r="J80" i="49"/>
  <c r="J79" i="49"/>
  <c r="J78" i="49"/>
  <c r="J77" i="49"/>
  <c r="J76" i="49"/>
  <c r="J75" i="49"/>
  <c r="J74" i="49"/>
  <c r="J73" i="49"/>
  <c r="J72" i="49"/>
  <c r="J71" i="49"/>
  <c r="J70" i="49"/>
  <c r="J69" i="49"/>
  <c r="J68" i="49"/>
  <c r="J67" i="49"/>
  <c r="J66" i="49"/>
  <c r="J65" i="49"/>
  <c r="J64" i="49"/>
  <c r="J63" i="49"/>
  <c r="J62" i="49"/>
  <c r="J61" i="49"/>
  <c r="J60" i="49"/>
  <c r="J59" i="49"/>
  <c r="J58" i="49"/>
  <c r="J57" i="49"/>
  <c r="J56" i="49"/>
  <c r="J55" i="49"/>
  <c r="J54" i="49"/>
  <c r="J53" i="49"/>
  <c r="J52" i="49"/>
  <c r="J51" i="49"/>
  <c r="J50" i="49"/>
  <c r="J49" i="49"/>
  <c r="J48" i="49"/>
  <c r="J47" i="49"/>
  <c r="J46" i="49"/>
  <c r="J45" i="49"/>
  <c r="J44" i="49"/>
  <c r="J43" i="49"/>
  <c r="J42" i="49"/>
  <c r="J41" i="49"/>
  <c r="J40" i="49"/>
  <c r="J39" i="49"/>
  <c r="J38" i="49"/>
  <c r="J37" i="49"/>
  <c r="J36" i="49"/>
  <c r="J35" i="49"/>
  <c r="J34" i="49"/>
  <c r="J33" i="49"/>
  <c r="J32" i="49"/>
  <c r="J31" i="49"/>
  <c r="J30" i="49"/>
  <c r="J29" i="49"/>
  <c r="J28" i="49"/>
  <c r="J27" i="49"/>
  <c r="J26" i="49"/>
  <c r="J25" i="49"/>
  <c r="J24" i="49"/>
  <c r="J23" i="49"/>
  <c r="J22" i="49"/>
  <c r="J21" i="49"/>
  <c r="J20" i="49"/>
  <c r="J19" i="49"/>
  <c r="J18" i="49"/>
  <c r="J17" i="49"/>
  <c r="J16" i="49"/>
  <c r="J15" i="49"/>
  <c r="J14" i="49"/>
  <c r="J13" i="49"/>
  <c r="J12" i="49"/>
  <c r="J11" i="49"/>
  <c r="J10" i="49"/>
  <c r="J9" i="49"/>
  <c r="J100" i="49" l="1"/>
  <c r="AH10" i="45"/>
  <c r="AH10" i="44"/>
  <c r="C6" i="44" l="1"/>
  <c r="C5" i="44"/>
  <c r="C4" i="44"/>
  <c r="C3" i="44"/>
  <c r="C2" i="44"/>
  <c r="C6" i="45"/>
  <c r="C5" i="45"/>
  <c r="C4" i="45"/>
  <c r="C3" i="45"/>
  <c r="C2" i="45"/>
  <c r="C6" i="46"/>
  <c r="C5" i="46"/>
  <c r="C4" i="46"/>
  <c r="C3" i="46"/>
  <c r="C2" i="46"/>
  <c r="C6" i="47"/>
  <c r="C5" i="47"/>
  <c r="C4" i="47"/>
  <c r="C3" i="47"/>
  <c r="C2" i="47"/>
  <c r="C6" i="48"/>
  <c r="C5" i="48"/>
  <c r="C4" i="48"/>
  <c r="C3" i="48"/>
  <c r="C2" i="48"/>
  <c r="AH46" i="45"/>
  <c r="AC45" i="45"/>
  <c r="AC47" i="45" s="1"/>
  <c r="AB45" i="45"/>
  <c r="AB47" i="45" s="1"/>
  <c r="AA45" i="45"/>
  <c r="AA47" i="45" s="1"/>
  <c r="Z45" i="45"/>
  <c r="Z47" i="45" s="1"/>
  <c r="Y45" i="45"/>
  <c r="Y47" i="45" s="1"/>
  <c r="X45" i="45"/>
  <c r="X47" i="45" s="1"/>
  <c r="W45" i="45"/>
  <c r="W47" i="45" s="1"/>
  <c r="V45" i="45"/>
  <c r="V47" i="45" s="1"/>
  <c r="U45" i="45"/>
  <c r="U47" i="45" s="1"/>
  <c r="T45" i="45"/>
  <c r="T47" i="45" s="1"/>
  <c r="S45" i="45"/>
  <c r="S47" i="45" s="1"/>
  <c r="R45" i="45"/>
  <c r="R47" i="45" s="1"/>
  <c r="Q45" i="45"/>
  <c r="Q47" i="45" s="1"/>
  <c r="P45" i="45"/>
  <c r="P47" i="45" s="1"/>
  <c r="O45" i="45"/>
  <c r="O47" i="45" s="1"/>
  <c r="N45" i="45"/>
  <c r="N47" i="45" s="1"/>
  <c r="M45" i="45"/>
  <c r="M47" i="45" s="1"/>
  <c r="L45" i="45"/>
  <c r="L47" i="45" s="1"/>
  <c r="K45" i="45"/>
  <c r="K47" i="45" s="1"/>
  <c r="J45" i="45"/>
  <c r="J47" i="45" s="1"/>
  <c r="I45" i="45"/>
  <c r="I47" i="45" s="1"/>
  <c r="H45" i="45"/>
  <c r="H47" i="45" s="1"/>
  <c r="G45" i="45"/>
  <c r="G47" i="45" s="1"/>
  <c r="F45" i="45"/>
  <c r="F47" i="45" s="1"/>
  <c r="E45" i="45"/>
  <c r="E47" i="45" s="1"/>
  <c r="D45" i="45"/>
  <c r="D47" i="45" s="1"/>
  <c r="C45" i="45"/>
  <c r="C47" i="45" s="1"/>
  <c r="AH38" i="45"/>
  <c r="AH37" i="45"/>
  <c r="AH36" i="45"/>
  <c r="AH35" i="45"/>
  <c r="AH34" i="45"/>
  <c r="AH33" i="45"/>
  <c r="AH32" i="45"/>
  <c r="AH31" i="45"/>
  <c r="AH30" i="45"/>
  <c r="AH29" i="45"/>
  <c r="AH28" i="45"/>
  <c r="AH27" i="45"/>
  <c r="AH26" i="45"/>
  <c r="AH25" i="45"/>
  <c r="AH24" i="45"/>
  <c r="AH23" i="45"/>
  <c r="AH22" i="45"/>
  <c r="AH21" i="45"/>
  <c r="AH20" i="45"/>
  <c r="AH19" i="45"/>
  <c r="AH18" i="45"/>
  <c r="AH17" i="45"/>
  <c r="AH16" i="45"/>
  <c r="AH15" i="45"/>
  <c r="AH14" i="45"/>
  <c r="AH13" i="45"/>
  <c r="AH12" i="45"/>
  <c r="AH11" i="45"/>
  <c r="AH44" i="44"/>
  <c r="AH42" i="44"/>
  <c r="AB45" i="44"/>
  <c r="AB47" i="44" s="1"/>
  <c r="AA45" i="44"/>
  <c r="AA47" i="44" s="1"/>
  <c r="Z45" i="44"/>
  <c r="Z47" i="44" s="1"/>
  <c r="Y45" i="44"/>
  <c r="Y47" i="44" s="1"/>
  <c r="X45" i="44"/>
  <c r="X47" i="44" s="1"/>
  <c r="W45" i="44"/>
  <c r="W47" i="44" s="1"/>
  <c r="V45" i="44"/>
  <c r="V47" i="44" s="1"/>
  <c r="U45" i="44"/>
  <c r="U47" i="44" s="1"/>
  <c r="T45" i="44"/>
  <c r="T47" i="44" s="1"/>
  <c r="S45" i="44"/>
  <c r="S47" i="44" s="1"/>
  <c r="R45" i="44"/>
  <c r="R47" i="44" s="1"/>
  <c r="Q45" i="44"/>
  <c r="Q47" i="44" s="1"/>
  <c r="P45" i="44"/>
  <c r="P47" i="44" s="1"/>
  <c r="O45" i="44"/>
  <c r="O47" i="44" s="1"/>
  <c r="N45" i="44"/>
  <c r="N47" i="44" s="1"/>
  <c r="M45" i="44"/>
  <c r="M47" i="44" s="1"/>
  <c r="L45" i="44"/>
  <c r="L47" i="44" s="1"/>
  <c r="K45" i="44"/>
  <c r="K47" i="44" s="1"/>
  <c r="J45" i="44"/>
  <c r="J47" i="44" s="1"/>
  <c r="I45" i="44"/>
  <c r="I47" i="44" s="1"/>
  <c r="H45" i="44"/>
  <c r="H47" i="44" s="1"/>
  <c r="G45" i="44"/>
  <c r="G47" i="44" s="1"/>
  <c r="F47" i="44"/>
  <c r="E45" i="44"/>
  <c r="E47" i="44" s="1"/>
  <c r="D47" i="44"/>
  <c r="C47" i="44"/>
  <c r="AH38" i="44"/>
  <c r="AH37" i="44"/>
  <c r="AH36" i="44"/>
  <c r="AH35" i="44"/>
  <c r="AH34" i="44"/>
  <c r="AH33" i="44"/>
  <c r="AH32" i="44"/>
  <c r="AH31" i="44"/>
  <c r="AH30" i="44"/>
  <c r="AH29" i="44"/>
  <c r="AH28" i="44"/>
  <c r="AH27" i="44"/>
  <c r="AH26" i="44"/>
  <c r="AH25" i="44"/>
  <c r="AH24" i="44"/>
  <c r="AH23" i="44"/>
  <c r="AH22" i="44"/>
  <c r="AH21" i="44"/>
  <c r="AH20" i="44"/>
  <c r="AH19" i="44"/>
  <c r="AH18" i="44"/>
  <c r="AH17" i="44"/>
  <c r="AH16" i="44"/>
  <c r="AH15" i="44"/>
  <c r="AH14" i="44"/>
  <c r="AH13" i="44"/>
  <c r="AH12" i="44"/>
  <c r="AH41" i="45" l="1"/>
  <c r="AH45" i="45" s="1"/>
  <c r="AH47" i="45" s="1"/>
  <c r="AH41" i="44"/>
  <c r="AH45" i="44" s="1"/>
  <c r="AH47" i="44" s="1"/>
  <c r="AC45" i="44"/>
  <c r="AC47" i="44" s="1"/>
  <c r="K36" i="39" l="1"/>
  <c r="J36" i="39"/>
  <c r="I36" i="39"/>
  <c r="H36" i="39"/>
  <c r="G36" i="39"/>
  <c r="F36" i="39"/>
  <c r="E36" i="39"/>
  <c r="D36" i="39"/>
  <c r="L35" i="39"/>
  <c r="L33" i="39"/>
  <c r="K29" i="39"/>
  <c r="J29" i="39"/>
  <c r="I29" i="39"/>
  <c r="H29" i="39"/>
  <c r="G29" i="39"/>
  <c r="F29" i="39"/>
  <c r="E29" i="39"/>
  <c r="D29" i="39"/>
  <c r="L28" i="39"/>
  <c r="L26" i="39"/>
  <c r="K22" i="39"/>
  <c r="J22" i="39"/>
  <c r="I22" i="39"/>
  <c r="H22" i="39"/>
  <c r="G22" i="39"/>
  <c r="F22" i="39"/>
  <c r="E22" i="39"/>
  <c r="D22" i="39"/>
  <c r="L21" i="39"/>
  <c r="L19" i="39"/>
  <c r="K15" i="39"/>
  <c r="J15" i="39"/>
  <c r="I15" i="39"/>
  <c r="H15" i="39"/>
  <c r="G15" i="39"/>
  <c r="F15" i="39"/>
  <c r="E15" i="39"/>
  <c r="D15" i="39"/>
  <c r="L14" i="39"/>
  <c r="L12" i="39"/>
  <c r="K43" i="39" l="1"/>
  <c r="J43" i="39"/>
  <c r="L42" i="39"/>
  <c r="L22" i="39"/>
  <c r="L40" i="39"/>
  <c r="F43" i="39"/>
  <c r="L29" i="39"/>
  <c r="G43" i="39"/>
  <c r="H43" i="39"/>
  <c r="D43" i="39"/>
  <c r="E43" i="39"/>
  <c r="I43" i="39"/>
  <c r="L15" i="39"/>
  <c r="L36" i="39"/>
  <c r="L43" i="39" l="1"/>
  <c r="P49" i="40"/>
  <c r="BX49" i="40" s="1"/>
  <c r="P48" i="40"/>
  <c r="BX48" i="40" s="1"/>
  <c r="P51" i="40"/>
  <c r="BX51" i="40" s="1"/>
  <c r="Z16" i="28"/>
  <c r="Y16" i="28"/>
  <c r="X16" i="28"/>
  <c r="W16" i="28"/>
  <c r="V16" i="28"/>
  <c r="K16" i="28"/>
  <c r="K20" i="28"/>
  <c r="BX47" i="40" l="1"/>
  <c r="F14" i="28"/>
  <c r="CK85" i="36" l="1"/>
  <c r="CK84" i="36"/>
  <c r="CK83" i="36"/>
  <c r="CK82" i="36"/>
  <c r="CK80" i="36"/>
  <c r="CK78" i="36"/>
  <c r="CK77" i="36"/>
  <c r="CK76" i="36"/>
  <c r="CL76" i="36" l="1"/>
  <c r="CL77" i="36"/>
  <c r="CL78" i="36"/>
  <c r="CL80" i="36"/>
  <c r="CL82" i="36"/>
  <c r="CL83" i="36"/>
  <c r="CL84" i="36"/>
  <c r="CL85" i="36"/>
  <c r="CM76" i="36"/>
  <c r="CM77" i="36"/>
  <c r="CM78" i="36"/>
  <c r="CM80" i="36"/>
  <c r="CM82" i="36"/>
  <c r="CM83" i="36"/>
  <c r="CM84" i="36"/>
  <c r="CM85" i="36"/>
  <c r="CF77" i="36"/>
  <c r="CP77" i="36"/>
  <c r="CK60" i="36"/>
  <c r="S43" i="40" s="1"/>
  <c r="CR77" i="36"/>
  <c r="CH77" i="36"/>
  <c r="CE76" i="36"/>
  <c r="CO76" i="36"/>
  <c r="CO77" i="36"/>
  <c r="CE77" i="36"/>
  <c r="CE78" i="36"/>
  <c r="CO78" i="36"/>
  <c r="CO80" i="36"/>
  <c r="CE80" i="36"/>
  <c r="CO82" i="36"/>
  <c r="CE82" i="36"/>
  <c r="CO83" i="36"/>
  <c r="CE83" i="36"/>
  <c r="CO84" i="36"/>
  <c r="CE84" i="36"/>
  <c r="CO85" i="36"/>
  <c r="CE85" i="36"/>
  <c r="CJ76" i="36"/>
  <c r="CJ77" i="36"/>
  <c r="CJ78" i="36"/>
  <c r="CJ80" i="36"/>
  <c r="CJ82" i="36"/>
  <c r="CJ83" i="36"/>
  <c r="CJ84" i="36"/>
  <c r="CJ85" i="36"/>
  <c r="CO60" i="36"/>
  <c r="CE60" i="36"/>
  <c r="G43" i="40" s="1"/>
  <c r="CJ60" i="36"/>
  <c r="CP78" i="36"/>
  <c r="CF78" i="36"/>
  <c r="CP82" i="36"/>
  <c r="CF82" i="36"/>
  <c r="CQ76" i="36"/>
  <c r="CG76" i="36"/>
  <c r="CG78" i="36"/>
  <c r="CQ78" i="36"/>
  <c r="CG80" i="36"/>
  <c r="CQ80" i="36"/>
  <c r="CQ83" i="36"/>
  <c r="CG83" i="36"/>
  <c r="CQ84" i="36"/>
  <c r="CG84" i="36"/>
  <c r="CQ85" i="36"/>
  <c r="CG85" i="36"/>
  <c r="CG60" i="36"/>
  <c r="AK43" i="40" s="1"/>
  <c r="CQ60" i="36"/>
  <c r="CL60" i="36"/>
  <c r="AH43" i="40" s="1"/>
  <c r="CP83" i="36"/>
  <c r="CF83" i="36"/>
  <c r="CQ77" i="36"/>
  <c r="CG77" i="36"/>
  <c r="CQ82" i="36"/>
  <c r="CG82" i="36"/>
  <c r="CP76" i="36"/>
  <c r="CF76" i="36"/>
  <c r="CP85" i="36"/>
  <c r="CF85" i="36"/>
  <c r="CP60" i="36"/>
  <c r="CF60" i="36"/>
  <c r="V43" i="40" s="1"/>
  <c r="CH82" i="36"/>
  <c r="CR82" i="36"/>
  <c r="CR85" i="36"/>
  <c r="CH85" i="36"/>
  <c r="CH60" i="36"/>
  <c r="AZ43" i="40" s="1"/>
  <c r="CR60" i="36"/>
  <c r="CM60" i="36"/>
  <c r="AW43" i="40" s="1"/>
  <c r="CF80" i="36"/>
  <c r="CP80" i="36"/>
  <c r="CP84" i="36"/>
  <c r="CF84" i="36"/>
  <c r="CR76" i="36"/>
  <c r="CH76" i="36"/>
  <c r="CR78" i="36"/>
  <c r="CH78" i="36"/>
  <c r="CR80" i="36"/>
  <c r="CH80" i="36"/>
  <c r="CR83" i="36"/>
  <c r="CH83" i="36"/>
  <c r="CR84" i="36"/>
  <c r="CH84" i="36"/>
  <c r="B6" i="36"/>
  <c r="B5" i="36"/>
  <c r="B4" i="36"/>
  <c r="B3" i="36"/>
  <c r="B2" i="36"/>
  <c r="AY43" i="40" l="1"/>
  <c r="BB43" i="40"/>
  <c r="D43" i="40"/>
  <c r="AJ43" i="40"/>
  <c r="AM43" i="40"/>
  <c r="U43" i="40"/>
  <c r="X43" i="40"/>
  <c r="BO43" i="40"/>
  <c r="I43" i="40"/>
  <c r="B2" i="54"/>
  <c r="B2" i="53"/>
  <c r="B5" i="54"/>
  <c r="B5" i="53"/>
  <c r="B3" i="54"/>
  <c r="B3" i="53"/>
  <c r="B6" i="54"/>
  <c r="B6" i="53"/>
  <c r="B4" i="53"/>
  <c r="B4" i="54"/>
  <c r="Z20" i="28"/>
  <c r="Y20" i="28"/>
  <c r="X20" i="28"/>
  <c r="W20" i="28"/>
  <c r="V20" i="28"/>
  <c r="Y14" i="28"/>
  <c r="X14" i="28"/>
  <c r="W14" i="28"/>
  <c r="V14" i="28"/>
  <c r="Z31" i="28"/>
  <c r="Y31" i="28"/>
  <c r="X31" i="28"/>
  <c r="W31" i="28"/>
  <c r="V31" i="28"/>
  <c r="K31" i="28"/>
  <c r="K14" i="28"/>
  <c r="B2" i="37"/>
  <c r="B3" i="37"/>
  <c r="B4" i="37"/>
  <c r="B5" i="37"/>
  <c r="B6" i="37"/>
  <c r="BC43" i="40" l="1"/>
  <c r="BI43" i="40" s="1"/>
  <c r="F43" i="40"/>
  <c r="J43" i="40" s="1"/>
  <c r="BL43" i="40"/>
  <c r="AN43" i="40"/>
  <c r="AT43" i="40" s="1"/>
  <c r="BQ43" i="40"/>
  <c r="Y43" i="40"/>
  <c r="AE43" i="40" s="1"/>
  <c r="BN43" i="40"/>
  <c r="Z14" i="28"/>
  <c r="T84" i="36"/>
  <c r="BH84" i="36"/>
  <c r="K84" i="36"/>
  <c r="AE84" i="36"/>
  <c r="AN84" i="36"/>
  <c r="AY84" i="36"/>
  <c r="BS84" i="36"/>
  <c r="CB84" i="36"/>
  <c r="P43" i="40" l="1"/>
  <c r="BX43" i="40" s="1"/>
  <c r="BR43" i="40"/>
  <c r="CN84" i="36"/>
  <c r="CI84" i="36"/>
  <c r="AO84" i="36"/>
  <c r="BI84" i="36"/>
  <c r="U84" i="36"/>
  <c r="CC84" i="36"/>
  <c r="CS84" i="36" l="1"/>
  <c r="D8" i="28" l="1"/>
  <c r="C8" i="28"/>
  <c r="B8" i="28"/>
  <c r="CK37" i="36" l="1"/>
  <c r="CK28" i="36"/>
  <c r="AA31" i="28"/>
  <c r="AA30" i="28"/>
  <c r="AA22" i="28"/>
  <c r="AA14" i="28"/>
  <c r="AA20" i="28"/>
  <c r="AA19" i="28"/>
  <c r="AA18" i="28"/>
  <c r="AA17" i="28"/>
  <c r="AA16" i="28"/>
  <c r="AA15" i="28"/>
  <c r="AA29" i="28"/>
  <c r="AA21" i="28"/>
  <c r="AA13" i="28"/>
  <c r="AA28" i="28"/>
  <c r="AA27" i="28"/>
  <c r="AA26" i="28"/>
  <c r="AA25" i="28"/>
  <c r="AA24" i="28"/>
  <c r="AA23" i="28"/>
  <c r="AK23" i="28"/>
  <c r="AK24" i="28"/>
  <c r="AK22" i="28"/>
  <c r="AK21" i="28"/>
  <c r="AL23" i="28"/>
  <c r="AL21" i="28"/>
  <c r="AB23" i="28"/>
  <c r="AL24" i="28"/>
  <c r="AL22" i="28"/>
  <c r="AB24" i="28"/>
  <c r="AB22" i="28"/>
  <c r="AB25" i="28"/>
  <c r="AB21" i="28"/>
  <c r="AC25" i="28"/>
  <c r="AC21" i="28"/>
  <c r="AM22" i="28"/>
  <c r="AM24" i="28"/>
  <c r="AC24" i="28"/>
  <c r="AC22" i="28"/>
  <c r="AM23" i="28"/>
  <c r="AM21" i="28"/>
  <c r="AC23" i="28"/>
  <c r="CM57" i="36"/>
  <c r="CF63" i="36"/>
  <c r="CP63" i="36"/>
  <c r="CK62" i="36"/>
  <c r="CF59" i="36"/>
  <c r="CP59" i="36"/>
  <c r="AF42" i="40" s="1"/>
  <c r="CK58" i="36"/>
  <c r="CF50" i="36"/>
  <c r="CP50" i="36"/>
  <c r="AF33" i="40" s="1"/>
  <c r="CK49" i="36"/>
  <c r="CK48" i="36"/>
  <c r="CP36" i="36"/>
  <c r="AF19" i="40" s="1"/>
  <c r="CF36" i="36"/>
  <c r="CP27" i="36"/>
  <c r="CF27" i="36"/>
  <c r="CP26" i="36"/>
  <c r="CF26" i="36"/>
  <c r="CF22" i="36"/>
  <c r="CK18" i="36"/>
  <c r="CK17" i="36"/>
  <c r="CM63" i="36"/>
  <c r="CM61" i="36"/>
  <c r="AW44" i="40" s="1"/>
  <c r="CM59" i="36"/>
  <c r="CL63" i="36"/>
  <c r="CQ63" i="36"/>
  <c r="CG63" i="36"/>
  <c r="CL62" i="36"/>
  <c r="CQ62" i="36"/>
  <c r="CG62" i="36"/>
  <c r="CL61" i="36"/>
  <c r="AH44" i="40" s="1"/>
  <c r="CQ61" i="36"/>
  <c r="CG61" i="36"/>
  <c r="AK44" i="40" s="1"/>
  <c r="CL59" i="36"/>
  <c r="CG59" i="36"/>
  <c r="CQ59" i="36"/>
  <c r="AU42" i="40" s="1"/>
  <c r="CL58" i="36"/>
  <c r="CQ58" i="36"/>
  <c r="AU41" i="40" s="1"/>
  <c r="CG58" i="36"/>
  <c r="CL57" i="36"/>
  <c r="CQ57" i="36"/>
  <c r="AU40" i="40" s="1"/>
  <c r="CG57" i="36"/>
  <c r="CL56" i="36"/>
  <c r="CG56" i="36"/>
  <c r="CQ56" i="36"/>
  <c r="AU39" i="40" s="1"/>
  <c r="CL55" i="36"/>
  <c r="CQ55" i="36"/>
  <c r="N25" i="28" s="1"/>
  <c r="CG55" i="36"/>
  <c r="CL50" i="36"/>
  <c r="CQ50" i="36"/>
  <c r="AU33" i="40" s="1"/>
  <c r="CG50" i="36"/>
  <c r="CL49" i="36"/>
  <c r="CQ49" i="36"/>
  <c r="AU32" i="40" s="1"/>
  <c r="CG49" i="36"/>
  <c r="CL48" i="36"/>
  <c r="CG48" i="36"/>
  <c r="CQ48" i="36"/>
  <c r="AU31" i="40" s="1"/>
  <c r="CL43" i="36"/>
  <c r="AH26" i="40" s="1"/>
  <c r="CG43" i="36"/>
  <c r="AK26" i="40" s="1"/>
  <c r="AM26" i="40" s="1"/>
  <c r="CQ43" i="36"/>
  <c r="CL42" i="36"/>
  <c r="CQ42" i="36"/>
  <c r="AU25" i="40" s="1"/>
  <c r="CG42" i="36"/>
  <c r="CL41" i="36"/>
  <c r="CQ41" i="36"/>
  <c r="AU24" i="40" s="1"/>
  <c r="CG41" i="36"/>
  <c r="CL40" i="36"/>
  <c r="CQ40" i="36"/>
  <c r="AU23" i="40" s="1"/>
  <c r="CG40" i="36"/>
  <c r="CL39" i="36"/>
  <c r="CQ39" i="36"/>
  <c r="AU22" i="40" s="1"/>
  <c r="CG39" i="36"/>
  <c r="CL38" i="36"/>
  <c r="CQ38" i="36"/>
  <c r="AU21" i="40" s="1"/>
  <c r="CG38" i="36"/>
  <c r="CL37" i="36"/>
  <c r="CQ37" i="36"/>
  <c r="AU20" i="40" s="1"/>
  <c r="CG37" i="36"/>
  <c r="CL36" i="36"/>
  <c r="CG36" i="36"/>
  <c r="CQ36" i="36"/>
  <c r="AU19" i="40" s="1"/>
  <c r="CL35" i="36"/>
  <c r="CG35" i="36"/>
  <c r="CQ35" i="36"/>
  <c r="CL28" i="36"/>
  <c r="CQ28" i="36"/>
  <c r="CG28" i="36"/>
  <c r="CL27" i="36"/>
  <c r="CQ27" i="36"/>
  <c r="CG27" i="36"/>
  <c r="CL26" i="36"/>
  <c r="CQ26" i="36"/>
  <c r="CG26" i="36"/>
  <c r="CL25" i="36"/>
  <c r="CG22" i="36"/>
  <c r="CL21" i="36"/>
  <c r="CQ21" i="36"/>
  <c r="CG21" i="36"/>
  <c r="CL19" i="36"/>
  <c r="CQ19" i="36"/>
  <c r="CG19" i="36"/>
  <c r="CL18" i="36"/>
  <c r="CQ18" i="36"/>
  <c r="CG18" i="36"/>
  <c r="CL17" i="36"/>
  <c r="CQ17" i="36"/>
  <c r="CG17" i="36"/>
  <c r="CL16" i="36"/>
  <c r="CG16" i="36"/>
  <c r="CQ16" i="36"/>
  <c r="CK61" i="36"/>
  <c r="S44" i="40" s="1"/>
  <c r="CK41" i="36"/>
  <c r="CP40" i="36"/>
  <c r="AF23" i="40" s="1"/>
  <c r="CF40" i="36"/>
  <c r="CK35" i="36"/>
  <c r="CK25" i="36"/>
  <c r="CP21" i="36"/>
  <c r="CF21" i="36"/>
  <c r="CP16" i="36"/>
  <c r="CF16" i="36"/>
  <c r="CM62" i="36"/>
  <c r="CP62" i="36"/>
  <c r="CF62" i="36"/>
  <c r="CK59" i="36"/>
  <c r="CK55" i="36"/>
  <c r="CK42" i="36"/>
  <c r="CK36" i="36"/>
  <c r="CK27" i="36"/>
  <c r="CP17" i="36"/>
  <c r="CF17" i="36"/>
  <c r="CJ63" i="36"/>
  <c r="CO63" i="36"/>
  <c r="CE63" i="36"/>
  <c r="CJ62" i="36"/>
  <c r="C70" i="36"/>
  <c r="CE62" i="36"/>
  <c r="CO62" i="36"/>
  <c r="CJ61" i="36"/>
  <c r="CO61" i="36"/>
  <c r="CE61" i="36"/>
  <c r="G44" i="40" s="1"/>
  <c r="CJ59" i="36"/>
  <c r="CO59" i="36"/>
  <c r="Q42" i="40" s="1"/>
  <c r="CE59" i="36"/>
  <c r="CJ58" i="36"/>
  <c r="CE58" i="36"/>
  <c r="CO58" i="36"/>
  <c r="Q41" i="40" s="1"/>
  <c r="CJ57" i="36"/>
  <c r="CE57" i="36"/>
  <c r="CO57" i="36"/>
  <c r="Q40" i="40" s="1"/>
  <c r="CJ56" i="36"/>
  <c r="CO56" i="36"/>
  <c r="Q39" i="40" s="1"/>
  <c r="CE56" i="36"/>
  <c r="CJ55" i="36"/>
  <c r="CO55" i="36"/>
  <c r="L25" i="28" s="1"/>
  <c r="CE55" i="36"/>
  <c r="CJ50" i="36"/>
  <c r="CE50" i="36"/>
  <c r="CO50" i="36"/>
  <c r="Q33" i="40" s="1"/>
  <c r="CJ49" i="36"/>
  <c r="CE49" i="36"/>
  <c r="CO49" i="36"/>
  <c r="Q32" i="40" s="1"/>
  <c r="CJ48" i="36"/>
  <c r="CO48" i="36"/>
  <c r="Q31" i="40" s="1"/>
  <c r="CE48" i="36"/>
  <c r="CJ43" i="36"/>
  <c r="D26" i="40" s="1"/>
  <c r="CO43" i="36"/>
  <c r="CE43" i="36"/>
  <c r="G26" i="40" s="1"/>
  <c r="CJ42" i="36"/>
  <c r="CE42" i="36"/>
  <c r="CO42" i="36"/>
  <c r="Q25" i="40" s="1"/>
  <c r="CJ41" i="36"/>
  <c r="CE41" i="36"/>
  <c r="CO41" i="36"/>
  <c r="Q24" i="40" s="1"/>
  <c r="CJ40" i="36"/>
  <c r="CO40" i="36"/>
  <c r="Q23" i="40" s="1"/>
  <c r="CE40" i="36"/>
  <c r="CJ39" i="36"/>
  <c r="CO39" i="36"/>
  <c r="Q22" i="40" s="1"/>
  <c r="CE39" i="36"/>
  <c r="CJ38" i="36"/>
  <c r="CE38" i="36"/>
  <c r="CO38" i="36"/>
  <c r="Q21" i="40" s="1"/>
  <c r="CJ37" i="36"/>
  <c r="CO37" i="36"/>
  <c r="Q20" i="40" s="1"/>
  <c r="CE37" i="36"/>
  <c r="CJ36" i="36"/>
  <c r="CO36" i="36"/>
  <c r="Q19" i="40" s="1"/>
  <c r="CE36" i="36"/>
  <c r="CJ35" i="36"/>
  <c r="CO35" i="36"/>
  <c r="Q18" i="40" s="1"/>
  <c r="CE35" i="36"/>
  <c r="CJ28" i="36"/>
  <c r="CO28" i="36"/>
  <c r="CE28" i="36"/>
  <c r="CJ27" i="36"/>
  <c r="CO27" i="36"/>
  <c r="CE27" i="36"/>
  <c r="CJ26" i="36"/>
  <c r="CO26" i="36"/>
  <c r="CE26" i="36"/>
  <c r="CJ25" i="36"/>
  <c r="CE22" i="36"/>
  <c r="CJ21" i="36"/>
  <c r="CE21" i="36"/>
  <c r="CO21" i="36"/>
  <c r="CJ19" i="36"/>
  <c r="CO19" i="36"/>
  <c r="CE19" i="36"/>
  <c r="CJ18" i="36"/>
  <c r="CO18" i="36"/>
  <c r="CE18" i="36"/>
  <c r="CJ17" i="36"/>
  <c r="CO17" i="36"/>
  <c r="CE17" i="36"/>
  <c r="CJ16" i="36"/>
  <c r="CO16" i="36"/>
  <c r="CE16" i="36"/>
  <c r="CK63" i="36"/>
  <c r="CK57" i="36"/>
  <c r="CK56" i="36"/>
  <c r="CF55" i="36"/>
  <c r="CP55" i="36"/>
  <c r="M25" i="28" s="1"/>
  <c r="CK50" i="36"/>
  <c r="CP49" i="36"/>
  <c r="AF32" i="40" s="1"/>
  <c r="CF49" i="36"/>
  <c r="CP48" i="36"/>
  <c r="AF31" i="40" s="1"/>
  <c r="CF48" i="36"/>
  <c r="CK43" i="36"/>
  <c r="S26" i="40" s="1"/>
  <c r="CF42" i="36"/>
  <c r="CP42" i="36"/>
  <c r="AF25" i="40" s="1"/>
  <c r="CP41" i="36"/>
  <c r="AF24" i="40" s="1"/>
  <c r="CF41" i="36"/>
  <c r="CK40" i="36"/>
  <c r="CF39" i="36"/>
  <c r="CP39" i="36"/>
  <c r="AF22" i="40" s="1"/>
  <c r="CP38" i="36"/>
  <c r="AF21" i="40" s="1"/>
  <c r="CF38" i="36"/>
  <c r="CP37" i="36"/>
  <c r="AF20" i="40" s="1"/>
  <c r="CF37" i="36"/>
  <c r="CK26" i="36"/>
  <c r="N20" i="36"/>
  <c r="N23" i="36" s="1"/>
  <c r="CK19" i="36"/>
  <c r="CK16" i="36"/>
  <c r="CF28" i="36"/>
  <c r="CP28" i="36"/>
  <c r="CM58" i="36"/>
  <c r="CH57" i="36"/>
  <c r="CR57" i="36"/>
  <c r="BJ40" i="40" s="1"/>
  <c r="CM56" i="36"/>
  <c r="CR56" i="36"/>
  <c r="BJ39" i="40" s="1"/>
  <c r="CH56" i="36"/>
  <c r="CM55" i="36"/>
  <c r="CR55" i="36"/>
  <c r="O25" i="28" s="1"/>
  <c r="AI25" i="28" s="1"/>
  <c r="CH55" i="36"/>
  <c r="CM50" i="36"/>
  <c r="CR50" i="36"/>
  <c r="BJ33" i="40" s="1"/>
  <c r="CH50" i="36"/>
  <c r="CM49" i="36"/>
  <c r="CH49" i="36"/>
  <c r="CR49" i="36"/>
  <c r="BJ32" i="40" s="1"/>
  <c r="CM48" i="36"/>
  <c r="CR48" i="36"/>
  <c r="BJ31" i="40" s="1"/>
  <c r="CH48" i="36"/>
  <c r="CM43" i="36"/>
  <c r="AW26" i="40" s="1"/>
  <c r="CR43" i="36"/>
  <c r="CH43" i="36"/>
  <c r="AZ26" i="40" s="1"/>
  <c r="BB26" i="40" s="1"/>
  <c r="CM42" i="36"/>
  <c r="CR42" i="36"/>
  <c r="BJ25" i="40" s="1"/>
  <c r="CH42" i="36"/>
  <c r="CM41" i="36"/>
  <c r="CH41" i="36"/>
  <c r="CR41" i="36"/>
  <c r="BJ24" i="40" s="1"/>
  <c r="CM40" i="36"/>
  <c r="CR40" i="36"/>
  <c r="CH40" i="36"/>
  <c r="CM39" i="36"/>
  <c r="CR39" i="36"/>
  <c r="BJ22" i="40" s="1"/>
  <c r="CH39" i="36"/>
  <c r="CM38" i="36"/>
  <c r="CR38" i="36"/>
  <c r="BJ21" i="40" s="1"/>
  <c r="CH38" i="36"/>
  <c r="CM37" i="36"/>
  <c r="CH37" i="36"/>
  <c r="CR37" i="36"/>
  <c r="BJ20" i="40" s="1"/>
  <c r="CM36" i="36"/>
  <c r="CH36" i="36"/>
  <c r="CR36" i="36"/>
  <c r="BJ19" i="40" s="1"/>
  <c r="CM35" i="36"/>
  <c r="CR35" i="36"/>
  <c r="CH35" i="36"/>
  <c r="CM28" i="36"/>
  <c r="CR28" i="36"/>
  <c r="CH28" i="36"/>
  <c r="CM27" i="36"/>
  <c r="CR27" i="36"/>
  <c r="CH27" i="36"/>
  <c r="CM26" i="36"/>
  <c r="CH26" i="36"/>
  <c r="CR26" i="36"/>
  <c r="CM25" i="36"/>
  <c r="CH22" i="36"/>
  <c r="CM21" i="36"/>
  <c r="CR21" i="36"/>
  <c r="CH21" i="36"/>
  <c r="R20" i="36"/>
  <c r="R23" i="36" s="1"/>
  <c r="CM19" i="36"/>
  <c r="CR19" i="36"/>
  <c r="CH19" i="36"/>
  <c r="CM18" i="36"/>
  <c r="CR18" i="36"/>
  <c r="CH18" i="36"/>
  <c r="CM17" i="36"/>
  <c r="CH17" i="36"/>
  <c r="CR17" i="36"/>
  <c r="CM16" i="36"/>
  <c r="CH16" i="36"/>
  <c r="CR16" i="36"/>
  <c r="CP61" i="36"/>
  <c r="CF61" i="36"/>
  <c r="V44" i="40" s="1"/>
  <c r="CF58" i="36"/>
  <c r="CP58" i="36"/>
  <c r="AF41" i="40" s="1"/>
  <c r="CP57" i="36"/>
  <c r="AF40" i="40" s="1"/>
  <c r="CF57" i="36"/>
  <c r="CP56" i="36"/>
  <c r="AF39" i="40" s="1"/>
  <c r="CF56" i="36"/>
  <c r="CF43" i="36"/>
  <c r="V26" i="40" s="1"/>
  <c r="CP43" i="36"/>
  <c r="CK39" i="36"/>
  <c r="CK38" i="36"/>
  <c r="CF35" i="36"/>
  <c r="CP35" i="36"/>
  <c r="AF18" i="40" s="1"/>
  <c r="CK21" i="36"/>
  <c r="CP19" i="36"/>
  <c r="CF19" i="36"/>
  <c r="CP18" i="36"/>
  <c r="CF18" i="36"/>
  <c r="CR63" i="36"/>
  <c r="CH63" i="36"/>
  <c r="CR62" i="36"/>
  <c r="CH62" i="36"/>
  <c r="CH61" i="36"/>
  <c r="AZ44" i="40" s="1"/>
  <c r="CR61" i="36"/>
  <c r="CR59" i="36"/>
  <c r="BJ42" i="40" s="1"/>
  <c r="CH59" i="36"/>
  <c r="CR58" i="36"/>
  <c r="BJ41" i="40" s="1"/>
  <c r="CH58" i="36"/>
  <c r="AB26" i="28"/>
  <c r="AC26" i="28"/>
  <c r="BX66" i="36"/>
  <c r="BD66" i="36"/>
  <c r="AJ66" i="36"/>
  <c r="P66" i="36"/>
  <c r="BV66" i="36"/>
  <c r="BB66" i="36"/>
  <c r="AH66" i="36"/>
  <c r="N66" i="36"/>
  <c r="BT66" i="36"/>
  <c r="AZ66" i="36"/>
  <c r="AF66" i="36"/>
  <c r="L66" i="36"/>
  <c r="BZ66" i="36"/>
  <c r="BF66" i="36"/>
  <c r="AL66" i="36"/>
  <c r="R66" i="36"/>
  <c r="AC14" i="28"/>
  <c r="AC18" i="28"/>
  <c r="AC28" i="28"/>
  <c r="AC15" i="28"/>
  <c r="AC19" i="28"/>
  <c r="AC29" i="28"/>
  <c r="AC17" i="28"/>
  <c r="AC27" i="28"/>
  <c r="S13" i="28"/>
  <c r="AC16" i="28"/>
  <c r="AC20" i="28"/>
  <c r="AC30" i="28"/>
  <c r="S14" i="28"/>
  <c r="AC13" i="28"/>
  <c r="AC31" i="28"/>
  <c r="AB16" i="28"/>
  <c r="AB20" i="28"/>
  <c r="AB30" i="28"/>
  <c r="AB19" i="28"/>
  <c r="R13" i="28"/>
  <c r="AB31" i="28"/>
  <c r="AB17" i="28"/>
  <c r="AB27" i="28"/>
  <c r="AB13" i="28"/>
  <c r="AB14" i="28"/>
  <c r="AB18" i="28"/>
  <c r="AB28" i="28"/>
  <c r="R14" i="28"/>
  <c r="AB15" i="28"/>
  <c r="AB29" i="28"/>
  <c r="Q14" i="28"/>
  <c r="Q13" i="28"/>
  <c r="E8" i="28"/>
  <c r="BJ43" i="40"/>
  <c r="AF43" i="40"/>
  <c r="AU43" i="40"/>
  <c r="Q43" i="40"/>
  <c r="BH63" i="36"/>
  <c r="BH38" i="36"/>
  <c r="T82" i="36"/>
  <c r="AY57" i="36"/>
  <c r="AY60" i="36"/>
  <c r="AY49" i="36"/>
  <c r="AY43" i="36"/>
  <c r="P20" i="36"/>
  <c r="L20" i="36"/>
  <c r="BS80" i="36"/>
  <c r="Q20" i="36"/>
  <c r="M20" i="36"/>
  <c r="T80" i="36"/>
  <c r="K77" i="36"/>
  <c r="AE80" i="36"/>
  <c r="AY55" i="36"/>
  <c r="K55" i="36"/>
  <c r="CB43" i="36"/>
  <c r="K17" i="36"/>
  <c r="T16" i="36"/>
  <c r="BS85" i="36"/>
  <c r="AE85" i="36"/>
  <c r="CB83" i="36"/>
  <c r="BS83" i="36"/>
  <c r="BH83" i="36"/>
  <c r="AN83" i="36"/>
  <c r="BS82" i="36"/>
  <c r="AE82" i="36"/>
  <c r="T76" i="36"/>
  <c r="BS63" i="36"/>
  <c r="AY39" i="36"/>
  <c r="BS38" i="36"/>
  <c r="BH58" i="36"/>
  <c r="CB57" i="36"/>
  <c r="K41" i="36"/>
  <c r="T40" i="36"/>
  <c r="BS78" i="36"/>
  <c r="AE78" i="36"/>
  <c r="CB77" i="36"/>
  <c r="BH77" i="36"/>
  <c r="AN77" i="36"/>
  <c r="BH76" i="36"/>
  <c r="K62" i="36"/>
  <c r="T61" i="36"/>
  <c r="AY59" i="36"/>
  <c r="K59" i="36"/>
  <c r="K37" i="36"/>
  <c r="T36" i="36"/>
  <c r="AY35" i="36"/>
  <c r="K35" i="36"/>
  <c r="BH85" i="36"/>
  <c r="AY83" i="36"/>
  <c r="BH82" i="36"/>
  <c r="BH78" i="36"/>
  <c r="AY77" i="36"/>
  <c r="AE63" i="36"/>
  <c r="AY62" i="36"/>
  <c r="AN62" i="36"/>
  <c r="BH61" i="36"/>
  <c r="AE61" i="36"/>
  <c r="CB49" i="36"/>
  <c r="BH42" i="36"/>
  <c r="AE42" i="36"/>
  <c r="AY41" i="36"/>
  <c r="S20" i="36"/>
  <c r="O20" i="36"/>
  <c r="C20" i="36"/>
  <c r="T85" i="36"/>
  <c r="K83" i="36"/>
  <c r="BH80" i="36"/>
  <c r="T78" i="36"/>
  <c r="BS76" i="36"/>
  <c r="AE76" i="36"/>
  <c r="BS58" i="36"/>
  <c r="AN57" i="36"/>
  <c r="BH56" i="36"/>
  <c r="AE56" i="36"/>
  <c r="BH50" i="36"/>
  <c r="CB39" i="36"/>
  <c r="AE38" i="36"/>
  <c r="AY37" i="36"/>
  <c r="AN37" i="36"/>
  <c r="BH36" i="36"/>
  <c r="AE36" i="36"/>
  <c r="CB62" i="36"/>
  <c r="CB55" i="36"/>
  <c r="AE50" i="36"/>
  <c r="K49" i="36"/>
  <c r="T48" i="36"/>
  <c r="BS42" i="36"/>
  <c r="AN41" i="36"/>
  <c r="BH40" i="36"/>
  <c r="AE40" i="36"/>
  <c r="K39" i="36"/>
  <c r="CB37" i="36"/>
  <c r="T27" i="36"/>
  <c r="K26" i="36"/>
  <c r="CB59" i="36"/>
  <c r="AE58" i="36"/>
  <c r="K57" i="36"/>
  <c r="T56" i="36"/>
  <c r="BS50" i="36"/>
  <c r="AN49" i="36"/>
  <c r="BH48" i="36"/>
  <c r="AE48" i="36"/>
  <c r="K43" i="36"/>
  <c r="CB41" i="36"/>
  <c r="CB35" i="36"/>
  <c r="T25" i="36"/>
  <c r="T18" i="36"/>
  <c r="T63" i="36"/>
  <c r="BS61" i="36"/>
  <c r="AN59" i="36"/>
  <c r="T58" i="36"/>
  <c r="BS56" i="36"/>
  <c r="AN55" i="36"/>
  <c r="T50" i="36"/>
  <c r="BS48" i="36"/>
  <c r="AN43" i="36"/>
  <c r="T42" i="36"/>
  <c r="BS40" i="36"/>
  <c r="AN39" i="36"/>
  <c r="T38" i="36"/>
  <c r="BS36" i="36"/>
  <c r="AN35" i="36"/>
  <c r="K28" i="36"/>
  <c r="K21" i="36"/>
  <c r="K19" i="36"/>
  <c r="BS77" i="36"/>
  <c r="K60" i="36"/>
  <c r="CB85" i="36"/>
  <c r="K85" i="36"/>
  <c r="CB82" i="36"/>
  <c r="K82" i="36"/>
  <c r="CB80" i="36"/>
  <c r="K80" i="36"/>
  <c r="CB78" i="36"/>
  <c r="K78" i="36"/>
  <c r="CB76" i="36"/>
  <c r="K76" i="36"/>
  <c r="AY85" i="36"/>
  <c r="AN85" i="36"/>
  <c r="AY82" i="36"/>
  <c r="AN82" i="36"/>
  <c r="AY80" i="36"/>
  <c r="AN80" i="36"/>
  <c r="AY78" i="36"/>
  <c r="AN78" i="36"/>
  <c r="AY76" i="36"/>
  <c r="AN76" i="36"/>
  <c r="AN60" i="36"/>
  <c r="AE60" i="36"/>
  <c r="T60" i="36"/>
  <c r="AE83" i="36"/>
  <c r="T83" i="36"/>
  <c r="AE77" i="36"/>
  <c r="T77" i="36"/>
  <c r="CB60" i="36"/>
  <c r="AY63" i="36"/>
  <c r="AN63" i="36"/>
  <c r="AY61" i="36"/>
  <c r="AN61" i="36"/>
  <c r="AY58" i="36"/>
  <c r="AN58" i="36"/>
  <c r="AY56" i="36"/>
  <c r="AN56" i="36"/>
  <c r="AY50" i="36"/>
  <c r="AN50" i="36"/>
  <c r="AY48" i="36"/>
  <c r="AN48" i="36"/>
  <c r="AY42" i="36"/>
  <c r="AN42" i="36"/>
  <c r="AY40" i="36"/>
  <c r="AN40" i="36"/>
  <c r="AY38" i="36"/>
  <c r="AN38" i="36"/>
  <c r="AY36" i="36"/>
  <c r="AN36" i="36"/>
  <c r="T21" i="36"/>
  <c r="K18" i="36"/>
  <c r="K16" i="36"/>
  <c r="AE62" i="36"/>
  <c r="T62" i="36"/>
  <c r="AE59" i="36"/>
  <c r="T59" i="36"/>
  <c r="AE57" i="36"/>
  <c r="T57" i="36"/>
  <c r="AE55" i="36"/>
  <c r="T55" i="36"/>
  <c r="AE49" i="36"/>
  <c r="T49" i="36"/>
  <c r="AE43" i="36"/>
  <c r="T43" i="36"/>
  <c r="AE41" i="36"/>
  <c r="T41" i="36"/>
  <c r="AE39" i="36"/>
  <c r="T39" i="36"/>
  <c r="AE37" i="36"/>
  <c r="T37" i="36"/>
  <c r="AE35" i="36"/>
  <c r="T35" i="36"/>
  <c r="T28" i="36"/>
  <c r="T26" i="36"/>
  <c r="K22" i="36"/>
  <c r="CB63" i="36"/>
  <c r="K63" i="36"/>
  <c r="CB61" i="36"/>
  <c r="K61" i="36"/>
  <c r="CB58" i="36"/>
  <c r="K58" i="36"/>
  <c r="CB56" i="36"/>
  <c r="K56" i="36"/>
  <c r="CB50" i="36"/>
  <c r="K50" i="36"/>
  <c r="CB48" i="36"/>
  <c r="K48" i="36"/>
  <c r="CB42" i="36"/>
  <c r="K42" i="36"/>
  <c r="CB40" i="36"/>
  <c r="K40" i="36"/>
  <c r="CB38" i="36"/>
  <c r="K38" i="36"/>
  <c r="CB36" i="36"/>
  <c r="K36" i="36"/>
  <c r="K27" i="36"/>
  <c r="K25" i="36"/>
  <c r="BH60" i="36"/>
  <c r="BS62" i="36"/>
  <c r="BH62" i="36"/>
  <c r="BS59" i="36"/>
  <c r="BH59" i="36"/>
  <c r="BS57" i="36"/>
  <c r="BH57" i="36"/>
  <c r="BS55" i="36"/>
  <c r="BH55" i="36"/>
  <c r="BS49" i="36"/>
  <c r="BH49" i="36"/>
  <c r="BS43" i="36"/>
  <c r="BH43" i="36"/>
  <c r="BS41" i="36"/>
  <c r="BH41" i="36"/>
  <c r="BS39" i="36"/>
  <c r="BH39" i="36"/>
  <c r="BS37" i="36"/>
  <c r="BH37" i="36"/>
  <c r="BS35" i="36"/>
  <c r="BH35" i="36"/>
  <c r="T19" i="36"/>
  <c r="T17" i="36"/>
  <c r="BS60" i="36"/>
  <c r="AY26" i="40" l="1"/>
  <c r="BC26" i="40" s="1"/>
  <c r="BI26" i="40" s="1"/>
  <c r="BJ26" i="40" s="1"/>
  <c r="AY44" i="40"/>
  <c r="AW50" i="40"/>
  <c r="AY50" i="40" s="1"/>
  <c r="BB44" i="40"/>
  <c r="AZ50" i="40"/>
  <c r="BB50" i="40" s="1"/>
  <c r="AJ26" i="40"/>
  <c r="AN26" i="40" s="1"/>
  <c r="AT26" i="40" s="1"/>
  <c r="AU26" i="40" s="1"/>
  <c r="AM44" i="40"/>
  <c r="AK50" i="40"/>
  <c r="AM50" i="40" s="1"/>
  <c r="D44" i="40"/>
  <c r="D50" i="40" s="1"/>
  <c r="U44" i="40"/>
  <c r="AJ44" i="40"/>
  <c r="AH50" i="40"/>
  <c r="AJ50" i="40" s="1"/>
  <c r="AM25" i="28"/>
  <c r="AH25" i="28"/>
  <c r="U26" i="40"/>
  <c r="X44" i="40"/>
  <c r="V50" i="40"/>
  <c r="X50" i="40" s="1"/>
  <c r="X26" i="40"/>
  <c r="AL25" i="28"/>
  <c r="AG25" i="28"/>
  <c r="BL26" i="40"/>
  <c r="F26" i="40"/>
  <c r="BO44" i="40"/>
  <c r="I44" i="40"/>
  <c r="G50" i="40"/>
  <c r="BO26" i="40"/>
  <c r="I26" i="40"/>
  <c r="AK25" i="28"/>
  <c r="AF25" i="28"/>
  <c r="AF38" i="40"/>
  <c r="AU38" i="40"/>
  <c r="BJ38" i="40"/>
  <c r="BY19" i="40"/>
  <c r="Q38" i="40"/>
  <c r="BJ23" i="40"/>
  <c r="BY23" i="40" s="1"/>
  <c r="O31" i="28"/>
  <c r="N31" i="28"/>
  <c r="CI27" i="36"/>
  <c r="CN55" i="36"/>
  <c r="CI82" i="36"/>
  <c r="CI28" i="36"/>
  <c r="CN18" i="36"/>
  <c r="CI43" i="36"/>
  <c r="CI59" i="36"/>
  <c r="CI41" i="36"/>
  <c r="L31" i="28"/>
  <c r="CN19" i="36"/>
  <c r="CN39" i="36"/>
  <c r="CI36" i="36"/>
  <c r="CI48" i="36"/>
  <c r="M31" i="28"/>
  <c r="CI85" i="36"/>
  <c r="P25" i="28"/>
  <c r="AJ25" i="28" s="1"/>
  <c r="AD25" i="28"/>
  <c r="AD23" i="28"/>
  <c r="AD21" i="28"/>
  <c r="AD24" i="28"/>
  <c r="AD22" i="28"/>
  <c r="AN25" i="28"/>
  <c r="AN23" i="28"/>
  <c r="AN21" i="28"/>
  <c r="AN24" i="28"/>
  <c r="AN22" i="28"/>
  <c r="BY31" i="40"/>
  <c r="CI16" i="36"/>
  <c r="CI39" i="36"/>
  <c r="BY24" i="40"/>
  <c r="CI61" i="36"/>
  <c r="CN80" i="36"/>
  <c r="CN41" i="36"/>
  <c r="CI76" i="36"/>
  <c r="CN26" i="36"/>
  <c r="CN76" i="36"/>
  <c r="CN27" i="36"/>
  <c r="CN85" i="36"/>
  <c r="BY20" i="40"/>
  <c r="CN66" i="36"/>
  <c r="CG70" i="36"/>
  <c r="CQ70" i="36"/>
  <c r="CI60" i="36"/>
  <c r="CN78" i="36"/>
  <c r="CN35" i="36"/>
  <c r="CI40" i="36"/>
  <c r="CN83" i="36"/>
  <c r="CN56" i="36"/>
  <c r="CO20" i="36"/>
  <c r="CE20" i="36"/>
  <c r="CI22" i="36"/>
  <c r="CN37" i="36"/>
  <c r="CN49" i="36"/>
  <c r="CN62" i="36"/>
  <c r="CN21" i="36"/>
  <c r="CI80" i="36"/>
  <c r="CI19" i="36"/>
  <c r="CN38" i="36"/>
  <c r="CI57" i="36"/>
  <c r="CI49" i="36"/>
  <c r="CQ20" i="36"/>
  <c r="CG20" i="36"/>
  <c r="CN36" i="36"/>
  <c r="CI55" i="36"/>
  <c r="CI77" i="36"/>
  <c r="L23" i="36"/>
  <c r="CJ20" i="36"/>
  <c r="P23" i="36"/>
  <c r="CL20" i="36"/>
  <c r="CN82" i="36"/>
  <c r="CN43" i="36"/>
  <c r="CI78" i="36"/>
  <c r="CN48" i="36"/>
  <c r="CN17" i="36"/>
  <c r="CI42" i="36"/>
  <c r="CI58" i="36"/>
  <c r="CN77" i="36"/>
  <c r="CN58" i="36"/>
  <c r="CI26" i="36"/>
  <c r="CI83" i="36"/>
  <c r="CI37" i="36"/>
  <c r="CN40" i="36"/>
  <c r="CN42" i="36"/>
  <c r="CM20" i="36"/>
  <c r="CN28" i="36"/>
  <c r="CN57" i="36"/>
  <c r="CN61" i="36"/>
  <c r="CI17" i="36"/>
  <c r="CK20" i="36"/>
  <c r="CF70" i="36"/>
  <c r="CP70" i="36"/>
  <c r="CL70" i="36"/>
  <c r="CI18" i="36"/>
  <c r="CN63" i="36"/>
  <c r="CI38" i="36"/>
  <c r="CI50" i="36"/>
  <c r="CI63" i="36"/>
  <c r="CN60" i="36"/>
  <c r="CI62" i="36"/>
  <c r="CP20" i="36"/>
  <c r="CF20" i="36"/>
  <c r="CO70" i="36"/>
  <c r="CE70" i="36"/>
  <c r="CK70" i="36"/>
  <c r="CN50" i="36"/>
  <c r="CI35" i="36"/>
  <c r="CR20" i="36"/>
  <c r="CH20" i="36"/>
  <c r="CR70" i="36"/>
  <c r="CH70" i="36"/>
  <c r="CM70" i="36"/>
  <c r="CN25" i="36"/>
  <c r="CN59" i="36"/>
  <c r="CI21" i="36"/>
  <c r="CI56" i="36"/>
  <c r="CN16" i="36"/>
  <c r="CJ70" i="36"/>
  <c r="BY42" i="40"/>
  <c r="BY39" i="40"/>
  <c r="BY43" i="40"/>
  <c r="BY33" i="40"/>
  <c r="BY41" i="40"/>
  <c r="BY32" i="40"/>
  <c r="BY40" i="40"/>
  <c r="AD26" i="28"/>
  <c r="BY21" i="40"/>
  <c r="BY25" i="40"/>
  <c r="BY22" i="40"/>
  <c r="BJ18" i="40"/>
  <c r="AU18" i="40"/>
  <c r="L16" i="28"/>
  <c r="AK16" i="28" s="1"/>
  <c r="N20" i="28"/>
  <c r="AM20" i="28" s="1"/>
  <c r="O16" i="28"/>
  <c r="AI16" i="28" s="1"/>
  <c r="O20" i="28"/>
  <c r="AN20" i="28" s="1"/>
  <c r="N14" i="28"/>
  <c r="AM14" i="28" s="1"/>
  <c r="N16" i="28"/>
  <c r="M13" i="28"/>
  <c r="AL13" i="28" s="1"/>
  <c r="M17" i="28"/>
  <c r="AL17" i="28" s="1"/>
  <c r="N13" i="28"/>
  <c r="AM13" i="28" s="1"/>
  <c r="L13" i="28"/>
  <c r="AK13" i="28" s="1"/>
  <c r="L17" i="28"/>
  <c r="O13" i="28"/>
  <c r="AN13" i="28" s="1"/>
  <c r="O17" i="28"/>
  <c r="AN17" i="28" s="1"/>
  <c r="N17" i="28"/>
  <c r="AM17" i="28" s="1"/>
  <c r="L30" i="28"/>
  <c r="M14" i="28"/>
  <c r="AL14" i="28" s="1"/>
  <c r="M30" i="28"/>
  <c r="L14" i="28"/>
  <c r="N30" i="28"/>
  <c r="O14" i="28"/>
  <c r="AN14" i="28" s="1"/>
  <c r="O30" i="28"/>
  <c r="L29" i="28"/>
  <c r="M15" i="28"/>
  <c r="AL15" i="28" s="1"/>
  <c r="M19" i="28"/>
  <c r="AL19" i="28" s="1"/>
  <c r="M29" i="28"/>
  <c r="L15" i="28"/>
  <c r="N19" i="28"/>
  <c r="AM19" i="28" s="1"/>
  <c r="N29" i="28"/>
  <c r="O15" i="28"/>
  <c r="AN15" i="28" s="1"/>
  <c r="O19" i="28"/>
  <c r="AN19" i="28" s="1"/>
  <c r="O29" i="28"/>
  <c r="L19" i="28"/>
  <c r="N15" i="28"/>
  <c r="AM15" i="28" s="1"/>
  <c r="L20" i="28"/>
  <c r="M16" i="28"/>
  <c r="M20" i="28"/>
  <c r="AL20" i="28" s="1"/>
  <c r="M26" i="28"/>
  <c r="AL26" i="28" s="1"/>
  <c r="O26" i="28"/>
  <c r="AN26" i="28" s="1"/>
  <c r="N26" i="28"/>
  <c r="AM26" i="28" s="1"/>
  <c r="L26" i="28"/>
  <c r="AK26" i="28" s="1"/>
  <c r="AD30" i="28"/>
  <c r="AD31" i="28"/>
  <c r="AD17" i="28"/>
  <c r="AD27" i="28"/>
  <c r="AD13" i="28"/>
  <c r="AD15" i="28"/>
  <c r="AD29" i="28"/>
  <c r="AD16" i="28"/>
  <c r="AD20" i="28"/>
  <c r="AD14" i="28"/>
  <c r="AD18" i="28"/>
  <c r="AD28" i="28"/>
  <c r="T14" i="28"/>
  <c r="AD19" i="28"/>
  <c r="T13" i="28"/>
  <c r="L18" i="28"/>
  <c r="AK18" i="28" s="1"/>
  <c r="M18" i="28"/>
  <c r="AL18" i="28" s="1"/>
  <c r="N18" i="28"/>
  <c r="AM18" i="28" s="1"/>
  <c r="O18" i="28"/>
  <c r="AN18" i="28" s="1"/>
  <c r="BI37" i="36"/>
  <c r="BI43" i="36"/>
  <c r="CC85" i="36"/>
  <c r="U78" i="36"/>
  <c r="CC37" i="36"/>
  <c r="CC78" i="36"/>
  <c r="C23" i="36"/>
  <c r="CC42" i="36"/>
  <c r="U39" i="36"/>
  <c r="BI58" i="36"/>
  <c r="BI63" i="36"/>
  <c r="U41" i="36"/>
  <c r="BI61" i="36"/>
  <c r="BI41" i="36"/>
  <c r="CC40" i="36"/>
  <c r="CC56" i="36"/>
  <c r="U57" i="36"/>
  <c r="U18" i="36"/>
  <c r="AO56" i="36"/>
  <c r="U82" i="36"/>
  <c r="U19" i="36"/>
  <c r="BI59" i="36"/>
  <c r="CC82" i="36"/>
  <c r="U56" i="36"/>
  <c r="U37" i="36"/>
  <c r="U62" i="36"/>
  <c r="BI80" i="36"/>
  <c r="CC36" i="36"/>
  <c r="U25" i="36"/>
  <c r="U42" i="36"/>
  <c r="BI56" i="36"/>
  <c r="BI83" i="36"/>
  <c r="CC55" i="36"/>
  <c r="BI38" i="36"/>
  <c r="U85" i="36"/>
  <c r="U48" i="36"/>
  <c r="BI77" i="36"/>
  <c r="U80" i="36"/>
  <c r="BI50" i="36"/>
  <c r="BI39" i="36"/>
  <c r="CC38" i="36"/>
  <c r="CC50" i="36"/>
  <c r="U35" i="36"/>
  <c r="U43" i="36"/>
  <c r="U16" i="36"/>
  <c r="BI36" i="36"/>
  <c r="BI40" i="36"/>
  <c r="BI78" i="36"/>
  <c r="CC49" i="36"/>
  <c r="CC43" i="36"/>
  <c r="CC59" i="36"/>
  <c r="AO59" i="36"/>
  <c r="U61" i="36"/>
  <c r="BI55" i="36"/>
  <c r="CC58" i="36"/>
  <c r="CC63" i="36"/>
  <c r="AO41" i="36"/>
  <c r="AO48" i="36"/>
  <c r="U83" i="36"/>
  <c r="AO60" i="36"/>
  <c r="AO78" i="36"/>
  <c r="AO82" i="36"/>
  <c r="CC80" i="36"/>
  <c r="CC39" i="36"/>
  <c r="BI42" i="36"/>
  <c r="BI85" i="36"/>
  <c r="T70" i="36"/>
  <c r="AN70" i="36"/>
  <c r="BH70" i="36"/>
  <c r="CB70" i="36"/>
  <c r="U58" i="36"/>
  <c r="BI49" i="36"/>
  <c r="BI57" i="36"/>
  <c r="CC61" i="36"/>
  <c r="AO39" i="36"/>
  <c r="AO55" i="36"/>
  <c r="AO42" i="36"/>
  <c r="AO63" i="36"/>
  <c r="U77" i="36"/>
  <c r="AO80" i="36"/>
  <c r="AO85" i="36"/>
  <c r="K70" i="36"/>
  <c r="AE70" i="36"/>
  <c r="AY70" i="36"/>
  <c r="BS70" i="36"/>
  <c r="U17" i="36"/>
  <c r="CC41" i="36"/>
  <c r="CC48" i="36"/>
  <c r="U55" i="36"/>
  <c r="U59" i="36"/>
  <c r="U63" i="36"/>
  <c r="AO36" i="36"/>
  <c r="U49" i="36"/>
  <c r="K20" i="36"/>
  <c r="AO58" i="36"/>
  <c r="AO35" i="36"/>
  <c r="U50" i="36"/>
  <c r="AO37" i="36"/>
  <c r="CC76" i="36"/>
  <c r="U76" i="36"/>
  <c r="CC35" i="36"/>
  <c r="BI62" i="36"/>
  <c r="U27" i="36"/>
  <c r="AO49" i="36"/>
  <c r="AO57" i="36"/>
  <c r="U60" i="36"/>
  <c r="AO76" i="36"/>
  <c r="BI82" i="36"/>
  <c r="AO83" i="36"/>
  <c r="BI35" i="36"/>
  <c r="BI48" i="36"/>
  <c r="CC57" i="36"/>
  <c r="CC62" i="36"/>
  <c r="U38" i="36"/>
  <c r="U28" i="36"/>
  <c r="AO62" i="36"/>
  <c r="U21" i="36"/>
  <c r="AO38" i="36"/>
  <c r="AO50" i="36"/>
  <c r="T20" i="36"/>
  <c r="BI76" i="36"/>
  <c r="U36" i="36"/>
  <c r="U40" i="36"/>
  <c r="U26" i="36"/>
  <c r="AO43" i="36"/>
  <c r="AO40" i="36"/>
  <c r="AO61" i="36"/>
  <c r="AO77" i="36"/>
  <c r="CC77" i="36"/>
  <c r="CC83" i="36"/>
  <c r="BI60" i="36"/>
  <c r="CC60" i="36"/>
  <c r="AN44" i="40" l="1"/>
  <c r="AT44" i="40" s="1"/>
  <c r="AU44" i="40" s="1"/>
  <c r="AI19" i="28"/>
  <c r="AI17" i="28"/>
  <c r="BC50" i="40"/>
  <c r="BI50" i="40" s="1"/>
  <c r="AH17" i="28"/>
  <c r="AH20" i="28"/>
  <c r="F44" i="40"/>
  <c r="BN44" i="40" s="1"/>
  <c r="AI20" i="28"/>
  <c r="BC44" i="40"/>
  <c r="BI44" i="40" s="1"/>
  <c r="BJ44" i="40" s="1"/>
  <c r="AI14" i="28"/>
  <c r="AI15" i="28"/>
  <c r="AN29" i="28"/>
  <c r="AI29" i="28"/>
  <c r="AG14" i="28"/>
  <c r="AN30" i="28"/>
  <c r="AI30" i="28"/>
  <c r="AN31" i="28"/>
  <c r="AI31" i="28"/>
  <c r="AH15" i="28"/>
  <c r="AG17" i="28"/>
  <c r="S50" i="40"/>
  <c r="U50" i="40" s="1"/>
  <c r="Y50" i="40" s="1"/>
  <c r="AE50" i="40" s="1"/>
  <c r="AN50" i="40"/>
  <c r="AT50" i="40" s="1"/>
  <c r="BL44" i="40"/>
  <c r="BN26" i="40"/>
  <c r="Y26" i="40"/>
  <c r="Z26" i="40" s="1"/>
  <c r="AH19" i="28"/>
  <c r="AM31" i="28"/>
  <c r="AH31" i="28"/>
  <c r="AM30" i="28"/>
  <c r="AH30" i="28"/>
  <c r="AH14" i="28"/>
  <c r="AM29" i="28"/>
  <c r="AH29" i="28"/>
  <c r="AG15" i="28"/>
  <c r="AG20" i="28"/>
  <c r="AG19" i="28"/>
  <c r="BQ44" i="40"/>
  <c r="Y44" i="40"/>
  <c r="AE44" i="40" s="1"/>
  <c r="AF44" i="40" s="1"/>
  <c r="AL29" i="28"/>
  <c r="AG29" i="28"/>
  <c r="AL30" i="28"/>
  <c r="AG30" i="28"/>
  <c r="AL31" i="28"/>
  <c r="AG31" i="28"/>
  <c r="F50" i="40"/>
  <c r="BQ26" i="40"/>
  <c r="J26" i="40"/>
  <c r="AF16" i="28"/>
  <c r="I50" i="40"/>
  <c r="BQ50" i="40" s="1"/>
  <c r="BO50" i="40"/>
  <c r="AK31" i="28"/>
  <c r="AF31" i="28"/>
  <c r="AK30" i="28"/>
  <c r="AF30" i="28"/>
  <c r="AK17" i="28"/>
  <c r="AF17" i="28"/>
  <c r="AK20" i="28"/>
  <c r="AF20" i="28"/>
  <c r="AK29" i="28"/>
  <c r="AF29" i="28"/>
  <c r="AK14" i="28"/>
  <c r="AF14" i="28"/>
  <c r="AN16" i="28"/>
  <c r="BY38" i="40"/>
  <c r="CS48" i="36"/>
  <c r="CS60" i="36"/>
  <c r="CS16" i="36"/>
  <c r="CS41" i="36"/>
  <c r="CS80" i="36"/>
  <c r="CS18" i="36"/>
  <c r="CS17" i="36"/>
  <c r="CS63" i="36"/>
  <c r="CS59" i="36"/>
  <c r="CS85" i="36"/>
  <c r="CS27" i="36"/>
  <c r="CS82" i="36"/>
  <c r="CS78" i="36"/>
  <c r="CS35" i="36"/>
  <c r="CS77" i="36"/>
  <c r="CS62" i="36"/>
  <c r="CS55" i="36"/>
  <c r="CS76" i="36"/>
  <c r="CS49" i="36"/>
  <c r="CS61" i="36"/>
  <c r="CS36" i="36"/>
  <c r="CE23" i="36"/>
  <c r="CH23" i="36"/>
  <c r="CS43" i="36"/>
  <c r="CS38" i="36"/>
  <c r="CS21" i="36"/>
  <c r="CS19" i="36"/>
  <c r="CG23" i="36"/>
  <c r="CS57" i="36"/>
  <c r="CS58" i="36"/>
  <c r="CS56" i="36"/>
  <c r="CI20" i="36"/>
  <c r="CS28" i="36"/>
  <c r="CN70" i="36"/>
  <c r="CS39" i="36"/>
  <c r="CS40" i="36"/>
  <c r="CN20" i="36"/>
  <c r="CS26" i="36"/>
  <c r="CI70" i="36"/>
  <c r="CS50" i="36"/>
  <c r="CS42" i="36"/>
  <c r="CS37" i="36"/>
  <c r="CS83" i="36"/>
  <c r="CF23" i="36"/>
  <c r="AG16" i="28"/>
  <c r="AL16" i="28"/>
  <c r="AF15" i="28"/>
  <c r="AK15" i="28"/>
  <c r="AF19" i="28"/>
  <c r="AK19" i="28"/>
  <c r="BY18" i="40"/>
  <c r="AH16" i="28"/>
  <c r="AM16" i="28"/>
  <c r="P17" i="28"/>
  <c r="P14" i="28"/>
  <c r="AJ14" i="28" s="1"/>
  <c r="P15" i="28"/>
  <c r="P16" i="28"/>
  <c r="AJ16" i="28" s="1"/>
  <c r="P29" i="28"/>
  <c r="AJ29" i="28" s="1"/>
  <c r="P20" i="28"/>
  <c r="AJ20" i="28" s="1"/>
  <c r="P19" i="28"/>
  <c r="P26" i="28"/>
  <c r="P18" i="28"/>
  <c r="P31" i="28"/>
  <c r="AJ31" i="28" s="1"/>
  <c r="P30" i="28"/>
  <c r="AJ30" i="28" s="1"/>
  <c r="K23" i="36"/>
  <c r="AO70" i="36"/>
  <c r="U70" i="36"/>
  <c r="U20" i="36"/>
  <c r="BI70" i="36"/>
  <c r="CC70" i="36"/>
  <c r="J44" i="40" l="1"/>
  <c r="P44" i="40" s="1"/>
  <c r="BL50" i="40"/>
  <c r="AE26" i="40"/>
  <c r="AF26" i="40" s="1"/>
  <c r="K26" i="40"/>
  <c r="BR26" i="40"/>
  <c r="BN50" i="40"/>
  <c r="J50" i="40"/>
  <c r="CS70" i="36"/>
  <c r="CI23" i="36"/>
  <c r="CS20" i="36"/>
  <c r="BR44" i="40" l="1"/>
  <c r="BS26" i="40"/>
  <c r="BX44" i="40"/>
  <c r="Q44" i="40"/>
  <c r="BY44" i="40" s="1"/>
  <c r="BR50" i="40"/>
  <c r="P50" i="40"/>
  <c r="P26" i="40"/>
  <c r="BX50" i="40" l="1"/>
  <c r="BX26" i="40"/>
  <c r="Q26" i="40"/>
  <c r="BY26" i="40" s="1"/>
  <c r="F13" i="28" l="1"/>
  <c r="B6" i="28"/>
  <c r="B5" i="28"/>
  <c r="B4" i="28"/>
  <c r="B3" i="28"/>
  <c r="B2" i="28"/>
  <c r="Z27" i="28"/>
  <c r="Y27" i="28"/>
  <c r="X27" i="28"/>
  <c r="W27" i="28"/>
  <c r="V27" i="28"/>
  <c r="Y15" i="28"/>
  <c r="X15" i="28"/>
  <c r="W15" i="28"/>
  <c r="V15" i="28"/>
  <c r="Z17" i="28"/>
  <c r="Y17" i="28"/>
  <c r="X17" i="28"/>
  <c r="W17" i="28"/>
  <c r="V17" i="28"/>
  <c r="Z19" i="28"/>
  <c r="Y19" i="28"/>
  <c r="X19" i="28"/>
  <c r="W19" i="28"/>
  <c r="V19" i="28"/>
  <c r="Y13" i="28"/>
  <c r="X13" i="28"/>
  <c r="W13" i="28"/>
  <c r="V13" i="28"/>
  <c r="J10" i="28"/>
  <c r="O10" i="28" s="1"/>
  <c r="T10" i="28" s="1"/>
  <c r="Y10" i="28" s="1"/>
  <c r="AD10" i="28" s="1"/>
  <c r="AI10" i="28" s="1"/>
  <c r="AN10" i="28" s="1"/>
  <c r="I10" i="28"/>
  <c r="N10" i="28" s="1"/>
  <c r="S10" i="28" s="1"/>
  <c r="X10" i="28" s="1"/>
  <c r="AC10" i="28" s="1"/>
  <c r="AH10" i="28" s="1"/>
  <c r="AM10" i="28" s="1"/>
  <c r="H10" i="28"/>
  <c r="M10" i="28" s="1"/>
  <c r="R10" i="28" s="1"/>
  <c r="W10" i="28" s="1"/>
  <c r="AB10" i="28" s="1"/>
  <c r="AG10" i="28" s="1"/>
  <c r="AL10" i="28" s="1"/>
  <c r="G10" i="28"/>
  <c r="L10" i="28" s="1"/>
  <c r="Q10" i="28" s="1"/>
  <c r="V10" i="28" s="1"/>
  <c r="AA10" i="28" s="1"/>
  <c r="AF10" i="28" s="1"/>
  <c r="AK10" i="28" s="1"/>
  <c r="C8" i="8"/>
  <c r="F8" i="28" l="1"/>
  <c r="AG13" i="28"/>
  <c r="AI13" i="28"/>
  <c r="K15" i="28"/>
  <c r="V18" i="28"/>
  <c r="AH18" i="28"/>
  <c r="K18" i="28"/>
  <c r="W18" i="28"/>
  <c r="Y18" i="28"/>
  <c r="AG18" i="28"/>
  <c r="AI18" i="28"/>
  <c r="AF13" i="28"/>
  <c r="AH13" i="28"/>
  <c r="X18" i="28"/>
  <c r="AF18" i="28"/>
  <c r="K13" i="28"/>
  <c r="K19" i="28"/>
  <c r="K17" i="28"/>
  <c r="AO22" i="28" l="1"/>
  <c r="AE24" i="28"/>
  <c r="AE22" i="28"/>
  <c r="AO25" i="28"/>
  <c r="AO23" i="28"/>
  <c r="AO21" i="28"/>
  <c r="AE25" i="28"/>
  <c r="AE23" i="28"/>
  <c r="AE21" i="28"/>
  <c r="AO24" i="28"/>
  <c r="AE26" i="28"/>
  <c r="AO26" i="28"/>
  <c r="AO31" i="28"/>
  <c r="AO15" i="28"/>
  <c r="AO19" i="28"/>
  <c r="AO29" i="28"/>
  <c r="AE14" i="28"/>
  <c r="AE18" i="28"/>
  <c r="AE28" i="28"/>
  <c r="U14" i="28"/>
  <c r="AO16" i="28"/>
  <c r="AO20" i="28"/>
  <c r="AO30" i="28"/>
  <c r="AE15" i="28"/>
  <c r="AE19" i="28"/>
  <c r="AE29" i="28"/>
  <c r="U13" i="28"/>
  <c r="AO17" i="28"/>
  <c r="AE16" i="28"/>
  <c r="AE20" i="28"/>
  <c r="AE30" i="28"/>
  <c r="AO14" i="28"/>
  <c r="AO18" i="28"/>
  <c r="AE31" i="28"/>
  <c r="AE17" i="28"/>
  <c r="AE27" i="28"/>
  <c r="AE13" i="28"/>
  <c r="AJ17" i="28"/>
  <c r="AJ15" i="28"/>
  <c r="AJ19" i="28"/>
  <c r="Z15" i="28"/>
  <c r="Z13" i="28"/>
  <c r="AJ18" i="28"/>
  <c r="Z18" i="28"/>
  <c r="I19" i="7" l="1"/>
  <c r="H19" i="7"/>
  <c r="G19" i="7"/>
  <c r="F19" i="7"/>
  <c r="H45" i="7" l="1"/>
  <c r="H44" i="7"/>
  <c r="H43" i="7"/>
  <c r="H42" i="7"/>
  <c r="A11" i="19" l="1"/>
  <c r="A12" i="19"/>
  <c r="A13" i="19"/>
  <c r="A14" i="19"/>
  <c r="A15" i="19"/>
  <c r="A16" i="19"/>
  <c r="P13" i="28" l="1"/>
  <c r="AO13" i="28" s="1"/>
  <c r="AJ13" i="28" l="1"/>
  <c r="D5" i="11" l="1"/>
  <c r="B11" i="7"/>
  <c r="B19" i="7" s="1"/>
  <c r="C11" i="7"/>
  <c r="C19" i="7" s="1"/>
  <c r="D11" i="7"/>
  <c r="D19" i="7" s="1"/>
  <c r="E11" i="7"/>
  <c r="E19" i="7" s="1"/>
  <c r="C7" i="8"/>
  <c r="B2" i="6"/>
  <c r="B3" i="6"/>
  <c r="B4" i="6"/>
  <c r="B5" i="6"/>
  <c r="B6" i="6"/>
  <c r="C22" i="12"/>
  <c r="C82" i="12" s="1"/>
  <c r="D22" i="12"/>
  <c r="C27" i="6" s="1"/>
  <c r="E22" i="12"/>
  <c r="F22" i="12"/>
  <c r="C35" i="12"/>
  <c r="D35" i="12"/>
  <c r="E35" i="12"/>
  <c r="F35" i="12"/>
  <c r="C46" i="12"/>
  <c r="D46" i="12"/>
  <c r="D48" i="12" s="1"/>
  <c r="E46" i="12"/>
  <c r="F46" i="12"/>
  <c r="X56" i="12"/>
  <c r="D67" i="12"/>
  <c r="C29" i="7" s="1"/>
  <c r="E67" i="12"/>
  <c r="D29" i="7" s="1"/>
  <c r="F67" i="12"/>
  <c r="D76" i="12"/>
  <c r="E76" i="12"/>
  <c r="F76" i="12"/>
  <c r="B2" i="13"/>
  <c r="B3" i="13"/>
  <c r="B4" i="13"/>
  <c r="B5" i="13"/>
  <c r="B6" i="13"/>
  <c r="C15" i="7"/>
  <c r="D15" i="7" s="1"/>
  <c r="E15" i="7" s="1"/>
  <c r="F15" i="7" s="1"/>
  <c r="G15" i="7" s="1"/>
  <c r="H15" i="7" s="1"/>
  <c r="B25" i="7"/>
  <c r="C25" i="7"/>
  <c r="D25" i="7"/>
  <c r="E25" i="7"/>
  <c r="F25" i="7"/>
  <c r="G25" i="7"/>
  <c r="H25" i="7"/>
  <c r="I25" i="7"/>
  <c r="F32" i="7"/>
  <c r="F34" i="7" s="1"/>
  <c r="G32" i="7"/>
  <c r="G34" i="7" s="1"/>
  <c r="H32" i="7"/>
  <c r="H34" i="7" s="1"/>
  <c r="I32" i="7"/>
  <c r="I34" i="7" s="1"/>
  <c r="E14" i="2"/>
  <c r="E20" i="2" s="1"/>
  <c r="E29" i="7" l="1"/>
  <c r="E25" i="13"/>
  <c r="E27" i="6"/>
  <c r="D27" i="6"/>
  <c r="E82" i="12"/>
  <c r="E48" i="12"/>
  <c r="B27" i="6"/>
  <c r="C48" i="12"/>
  <c r="E16" i="2"/>
  <c r="E18" i="2" s="1"/>
  <c r="E22" i="2" s="1"/>
  <c r="B29" i="7"/>
  <c r="B20" i="6"/>
  <c r="D78" i="12"/>
  <c r="C13" i="7" s="1"/>
  <c r="F78" i="12"/>
  <c r="E13" i="7" s="1"/>
  <c r="F48" i="12"/>
  <c r="B13" i="7"/>
  <c r="E78" i="12"/>
  <c r="D13" i="7" s="1"/>
  <c r="E26" i="7"/>
  <c r="D26" i="7"/>
  <c r="C26" i="7"/>
  <c r="B26" i="7"/>
  <c r="C12" i="7"/>
  <c r="I15" i="7"/>
  <c r="I16" i="7" s="1"/>
  <c r="I18" i="7" s="1"/>
  <c r="H16" i="7"/>
  <c r="H18" i="7" s="1"/>
  <c r="F16" i="7"/>
  <c r="F18" i="7" s="1"/>
  <c r="G16" i="7"/>
  <c r="G18" i="7" s="1"/>
  <c r="E18" i="6"/>
  <c r="C18" i="6"/>
  <c r="E19" i="6"/>
  <c r="C19" i="6"/>
  <c r="E20" i="6"/>
  <c r="C20" i="6"/>
  <c r="E28" i="6"/>
  <c r="C28" i="6"/>
  <c r="E27" i="7"/>
  <c r="C27" i="7"/>
  <c r="D18" i="6"/>
  <c r="B18" i="6"/>
  <c r="D19" i="6"/>
  <c r="B19" i="6"/>
  <c r="D20" i="6"/>
  <c r="D28" i="6"/>
  <c r="B28" i="6"/>
  <c r="D27" i="7"/>
  <c r="B27" i="7"/>
  <c r="F82" i="12" l="1"/>
  <c r="D12" i="7"/>
  <c r="D14" i="7" s="1"/>
  <c r="D16" i="7" s="1"/>
  <c r="D18" i="7" s="1"/>
  <c r="B12" i="7"/>
  <c r="B14" i="7" s="1"/>
  <c r="B16" i="7" s="1"/>
  <c r="B18" i="7" s="1"/>
  <c r="D93" i="12"/>
  <c r="C37" i="6" s="1"/>
  <c r="C14" i="7"/>
  <c r="C16" i="7" s="1"/>
  <c r="C18" i="7" s="1"/>
  <c r="E12" i="7"/>
  <c r="E14" i="7" s="1"/>
  <c r="E16" i="7" s="1"/>
  <c r="E18" i="7" s="1"/>
  <c r="F91" i="12"/>
  <c r="F92" i="12" s="1"/>
  <c r="F93" i="12"/>
  <c r="E29" i="6" s="1"/>
  <c r="C93" i="12"/>
  <c r="B29" i="6" s="1"/>
  <c r="C28" i="7"/>
  <c r="E93" i="12"/>
  <c r="D29" i="6" s="1"/>
  <c r="E91" i="12"/>
  <c r="E92" i="12" s="1"/>
  <c r="E28" i="7"/>
  <c r="B28" i="7"/>
  <c r="D28" i="7"/>
  <c r="C30" i="7"/>
  <c r="C32" i="7" s="1"/>
  <c r="C34" i="7" s="1"/>
  <c r="B30" i="7"/>
  <c r="B32" i="7" s="1"/>
  <c r="B34" i="7" s="1"/>
  <c r="E30" i="7"/>
  <c r="E32" i="7" s="1"/>
  <c r="E34" i="7" s="1"/>
  <c r="D30" i="7"/>
  <c r="D32" i="7" s="1"/>
  <c r="D34" i="7" s="1"/>
  <c r="D91" i="12" l="1"/>
  <c r="D92" i="12" s="1"/>
  <c r="D94" i="12"/>
  <c r="C91" i="12"/>
  <c r="C92" i="12" s="1"/>
  <c r="C29" i="6"/>
  <c r="F43" i="7"/>
  <c r="F45" i="7"/>
  <c r="C50" i="7" s="1"/>
  <c r="F94" i="12"/>
  <c r="E37" i="6"/>
  <c r="C94" i="12"/>
  <c r="F42" i="7"/>
  <c r="B37" i="6"/>
  <c r="D37" i="6"/>
  <c r="E94" i="12"/>
  <c r="F44" i="7"/>
  <c r="B13" i="44"/>
  <c r="C53" i="7" l="1"/>
  <c r="B14" i="44"/>
  <c r="B15" i="44" s="1"/>
  <c r="B16" i="44" s="1"/>
  <c r="B17" i="44" s="1"/>
  <c r="B18" i="44" s="1"/>
  <c r="B19" i="44" s="1"/>
  <c r="B20" i="44" s="1"/>
  <c r="B21" i="44" s="1"/>
  <c r="B22" i="44" s="1"/>
  <c r="B23" i="44" s="1"/>
  <c r="B24" i="44" s="1"/>
  <c r="B25" i="44" s="1"/>
  <c r="B26" i="44" s="1"/>
  <c r="B27" i="44" s="1"/>
  <c r="B28" i="44" s="1"/>
  <c r="B29" i="44" s="1"/>
  <c r="B30" i="44" s="1"/>
  <c r="B31" i="44" s="1"/>
  <c r="B32" i="44" s="1"/>
  <c r="B33" i="44" s="1"/>
  <c r="B34" i="44" s="1"/>
  <c r="B35" i="44" s="1"/>
  <c r="B36" i="44" s="1"/>
  <c r="B37" i="44" s="1"/>
  <c r="B38" i="44" s="1"/>
  <c r="B39" i="44" s="1"/>
  <c r="C9" i="44" s="1" a="1"/>
  <c r="C9" i="44" l="1"/>
  <c r="V9" i="44"/>
  <c r="U9" i="44"/>
  <c r="AB9" i="44"/>
  <c r="L9" i="44"/>
  <c r="Z9" i="44"/>
  <c r="Q9" i="44"/>
  <c r="W9" i="44"/>
  <c r="G9" i="44"/>
  <c r="N9" i="44"/>
  <c r="M9" i="44"/>
  <c r="X9" i="44"/>
  <c r="H9" i="44"/>
  <c r="R9" i="44"/>
  <c r="I9" i="44"/>
  <c r="S9" i="44"/>
  <c r="F9" i="44"/>
  <c r="E9" i="44"/>
  <c r="T9" i="44"/>
  <c r="D9" i="44"/>
  <c r="J9" i="44"/>
  <c r="AE9" i="44"/>
  <c r="O9" i="44"/>
  <c r="AC9" i="44"/>
  <c r="AF9" i="44"/>
  <c r="P9" i="44"/>
  <c r="AD9" i="44"/>
  <c r="Y9" i="44"/>
  <c r="AA9" i="44"/>
  <c r="K9" i="44"/>
  <c r="BR47" i="36" l="1"/>
  <c r="BQ47" i="36"/>
  <c r="BP47" i="36"/>
  <c r="BO47" i="36"/>
  <c r="BN47" i="36"/>
  <c r="BM47" i="36"/>
  <c r="BL47" i="36"/>
  <c r="AX47" i="36"/>
  <c r="AW47" i="36"/>
  <c r="AV47" i="36"/>
  <c r="AU47" i="36"/>
  <c r="AT47" i="36"/>
  <c r="AS47" i="36"/>
  <c r="AR47" i="36"/>
  <c r="AD47" i="36"/>
  <c r="AC47" i="36"/>
  <c r="AB47" i="36"/>
  <c r="AA47" i="36"/>
  <c r="Z47" i="36"/>
  <c r="Y47" i="36"/>
  <c r="X47" i="36"/>
  <c r="J47" i="36"/>
  <c r="H47" i="36"/>
  <c r="F47" i="36"/>
  <c r="D47" i="36"/>
  <c r="BR46" i="36"/>
  <c r="BQ46" i="36"/>
  <c r="BP46" i="36"/>
  <c r="BO46" i="36"/>
  <c r="BN46" i="36"/>
  <c r="BM46" i="36"/>
  <c r="BL46" i="36"/>
  <c r="AX46" i="36"/>
  <c r="AW46" i="36"/>
  <c r="AV46" i="36"/>
  <c r="AU46" i="36"/>
  <c r="AT46" i="36"/>
  <c r="AS46" i="36"/>
  <c r="AR46" i="36"/>
  <c r="AD46" i="36"/>
  <c r="AC46" i="36"/>
  <c r="AB46" i="36"/>
  <c r="AA46" i="36"/>
  <c r="Z46" i="36"/>
  <c r="Y46" i="36"/>
  <c r="X46" i="36"/>
  <c r="J46" i="36"/>
  <c r="H46" i="36"/>
  <c r="F46" i="36"/>
  <c r="D46" i="36"/>
  <c r="BR45" i="36"/>
  <c r="BQ45" i="36"/>
  <c r="BP45" i="36"/>
  <c r="BO45" i="36"/>
  <c r="BN45" i="36"/>
  <c r="BM45" i="36"/>
  <c r="BL45" i="36"/>
  <c r="AX45" i="36"/>
  <c r="AW45" i="36"/>
  <c r="AV45" i="36"/>
  <c r="AU45" i="36"/>
  <c r="AT45" i="36"/>
  <c r="AS45" i="36"/>
  <c r="AR45" i="36"/>
  <c r="AD45" i="36"/>
  <c r="AC45" i="36"/>
  <c r="AB45" i="36"/>
  <c r="AA45" i="36"/>
  <c r="Z45" i="36"/>
  <c r="Y45" i="36"/>
  <c r="X45" i="36"/>
  <c r="J45" i="36"/>
  <c r="H45" i="36"/>
  <c r="F45" i="36"/>
  <c r="D45" i="36"/>
  <c r="D44" i="36" l="1"/>
  <c r="D66" i="36" s="1"/>
  <c r="D66" i="37"/>
  <c r="AC44" i="36"/>
  <c r="AC66" i="36" s="1"/>
  <c r="AC66" i="37"/>
  <c r="AS44" i="36"/>
  <c r="AS66" i="36" s="1"/>
  <c r="AS66" i="37"/>
  <c r="AW44" i="36"/>
  <c r="AW66" i="36" s="1"/>
  <c r="AW66" i="37"/>
  <c r="BM44" i="36"/>
  <c r="BM66" i="36" s="1"/>
  <c r="BM66" i="37"/>
  <c r="BQ44" i="36"/>
  <c r="BQ66" i="36" s="1"/>
  <c r="BQ66" i="37"/>
  <c r="E45" i="36"/>
  <c r="CF45" i="37"/>
  <c r="I45" i="36"/>
  <c r="CH45" i="37"/>
  <c r="E66" i="37"/>
  <c r="I44" i="36"/>
  <c r="CH44" i="37"/>
  <c r="I66" i="37"/>
  <c r="Z44" i="36"/>
  <c r="Z66" i="36" s="1"/>
  <c r="Z66" i="37"/>
  <c r="AT44" i="36"/>
  <c r="AT66" i="36" s="1"/>
  <c r="AT66" i="37"/>
  <c r="AX44" i="36"/>
  <c r="AX66" i="36" s="1"/>
  <c r="AX66" i="37"/>
  <c r="BN44" i="36"/>
  <c r="BN66" i="36" s="1"/>
  <c r="BN66" i="37"/>
  <c r="BR44" i="36"/>
  <c r="BR66" i="36" s="1"/>
  <c r="BR66" i="37"/>
  <c r="E47" i="36"/>
  <c r="CF47" i="37"/>
  <c r="I47" i="36"/>
  <c r="CH47" i="37"/>
  <c r="E44" i="36"/>
  <c r="CF44" i="37"/>
  <c r="Y44" i="36"/>
  <c r="Y66" i="36" s="1"/>
  <c r="Y66" i="37"/>
  <c r="F44" i="36"/>
  <c r="F66" i="36" s="1"/>
  <c r="F66" i="37"/>
  <c r="J44" i="36"/>
  <c r="J66" i="36" s="1"/>
  <c r="J66" i="37"/>
  <c r="AD44" i="36"/>
  <c r="AD66" i="36" s="1"/>
  <c r="AD66" i="37"/>
  <c r="G44" i="36"/>
  <c r="CG44" i="37"/>
  <c r="G66" i="37"/>
  <c r="AA44" i="36"/>
  <c r="AA66" i="36" s="1"/>
  <c r="AA66" i="37"/>
  <c r="AU44" i="36"/>
  <c r="AU66" i="36" s="1"/>
  <c r="AU66" i="37"/>
  <c r="BO44" i="36"/>
  <c r="BO66" i="36" s="1"/>
  <c r="BO66" i="37"/>
  <c r="C45" i="36"/>
  <c r="K45" i="37"/>
  <c r="G45" i="36"/>
  <c r="CG45" i="37"/>
  <c r="G46" i="36"/>
  <c r="CG46" i="37"/>
  <c r="H44" i="36"/>
  <c r="H66" i="36" s="1"/>
  <c r="H66" i="37"/>
  <c r="X44" i="36"/>
  <c r="X66" i="36" s="1"/>
  <c r="X66" i="37"/>
  <c r="AB44" i="36"/>
  <c r="AB66" i="36" s="1"/>
  <c r="AB66" i="37"/>
  <c r="AR44" i="36"/>
  <c r="AR66" i="36" s="1"/>
  <c r="AR66" i="37"/>
  <c r="AV44" i="36"/>
  <c r="AV66" i="36" s="1"/>
  <c r="AV66" i="37"/>
  <c r="BL44" i="36"/>
  <c r="BL66" i="36" s="1"/>
  <c r="BL66" i="37"/>
  <c r="BP44" i="36"/>
  <c r="BP66" i="36" s="1"/>
  <c r="BP66" i="37"/>
  <c r="G47" i="36"/>
  <c r="CG47" i="37"/>
  <c r="BK47" i="36"/>
  <c r="BS47" i="36" s="1"/>
  <c r="BS47" i="37"/>
  <c r="CG47" i="36" l="1"/>
  <c r="AK30" i="40" s="1"/>
  <c r="C46" i="36"/>
  <c r="CO46" i="37"/>
  <c r="CE46" i="37"/>
  <c r="K46" i="37"/>
  <c r="AQ45" i="36"/>
  <c r="AY45" i="36" s="1"/>
  <c r="AY45" i="37"/>
  <c r="CE45" i="37"/>
  <c r="CG66" i="37"/>
  <c r="C44" i="36"/>
  <c r="CE44" i="37"/>
  <c r="K44" i="37"/>
  <c r="C66" i="37"/>
  <c r="CF44" i="36"/>
  <c r="CH47" i="36"/>
  <c r="AZ30" i="40" s="1"/>
  <c r="AQ46" i="36"/>
  <c r="AY46" i="36" s="1"/>
  <c r="BI46" i="36" s="1"/>
  <c r="AY46" i="37"/>
  <c r="BI46" i="37" s="1"/>
  <c r="BK46" i="36"/>
  <c r="BS46" i="36" s="1"/>
  <c r="BS46" i="37"/>
  <c r="CG46" i="36"/>
  <c r="AK29" i="40" s="1"/>
  <c r="CF47" i="36"/>
  <c r="V30" i="40" s="1"/>
  <c r="CH45" i="36"/>
  <c r="AZ28" i="40" s="1"/>
  <c r="C47" i="36"/>
  <c r="CE47" i="37"/>
  <c r="K47" i="37"/>
  <c r="BK44" i="36"/>
  <c r="BK66" i="37"/>
  <c r="BS44" i="37"/>
  <c r="AQ44" i="36"/>
  <c r="AQ66" i="37"/>
  <c r="AY44" i="37"/>
  <c r="W44" i="36"/>
  <c r="W66" i="37"/>
  <c r="AE44" i="37"/>
  <c r="I46" i="36"/>
  <c r="I66" i="36" s="1"/>
  <c r="CH46" i="37"/>
  <c r="CH66" i="37" s="1"/>
  <c r="W46" i="36"/>
  <c r="AE46" i="36" s="1"/>
  <c r="AO46" i="36" s="1"/>
  <c r="AE46" i="37"/>
  <c r="AO46" i="37" s="1"/>
  <c r="CH44" i="36"/>
  <c r="AZ27" i="40" s="1"/>
  <c r="E46" i="36"/>
  <c r="E66" i="36" s="1"/>
  <c r="CP46" i="37"/>
  <c r="CF46" i="37"/>
  <c r="CF66" i="37" s="1"/>
  <c r="W47" i="36"/>
  <c r="AE47" i="36" s="1"/>
  <c r="AE47" i="37"/>
  <c r="AQ47" i="36"/>
  <c r="AY47" i="36" s="1"/>
  <c r="AY47" i="37"/>
  <c r="BK45" i="36"/>
  <c r="BS45" i="36" s="1"/>
  <c r="BS45" i="37"/>
  <c r="W45" i="36"/>
  <c r="AE45" i="36" s="1"/>
  <c r="AE45" i="37"/>
  <c r="CG45" i="36"/>
  <c r="AK28" i="40" s="1"/>
  <c r="K45" i="36"/>
  <c r="CG44" i="36"/>
  <c r="AK27" i="40" s="1"/>
  <c r="G66" i="36"/>
  <c r="CF45" i="36"/>
  <c r="V28" i="40" s="1"/>
  <c r="AM29" i="40" l="1"/>
  <c r="BB30" i="40"/>
  <c r="AM28" i="40"/>
  <c r="BB27" i="40"/>
  <c r="BB28" i="40"/>
  <c r="X28" i="40"/>
  <c r="X30" i="40"/>
  <c r="AM30" i="40"/>
  <c r="AM27" i="40"/>
  <c r="AK52" i="40"/>
  <c r="AM52" i="40" s="1"/>
  <c r="AK45" i="40"/>
  <c r="AM45" i="40" s="1"/>
  <c r="CG66" i="36"/>
  <c r="CI45" i="37"/>
  <c r="CE45" i="36"/>
  <c r="G28" i="40" s="1"/>
  <c r="AE66" i="37"/>
  <c r="BS44" i="36"/>
  <c r="BS66" i="36" s="1"/>
  <c r="BK66" i="36"/>
  <c r="CE47" i="36"/>
  <c r="G30" i="40" s="1"/>
  <c r="K47" i="36"/>
  <c r="CI47" i="36" s="1"/>
  <c r="K66" i="37"/>
  <c r="CI44" i="37"/>
  <c r="CI46" i="37"/>
  <c r="U46" i="37"/>
  <c r="AY44" i="36"/>
  <c r="AY66" i="36" s="1"/>
  <c r="AQ66" i="36"/>
  <c r="CI47" i="37"/>
  <c r="V27" i="40"/>
  <c r="CE66" i="37"/>
  <c r="CF46" i="36"/>
  <c r="V29" i="40" s="1"/>
  <c r="CP46" i="36"/>
  <c r="CH46" i="36"/>
  <c r="AE44" i="36"/>
  <c r="AE66" i="36" s="1"/>
  <c r="W66" i="36"/>
  <c r="BS66" i="37"/>
  <c r="CI45" i="36"/>
  <c r="AY66" i="37"/>
  <c r="K44" i="36"/>
  <c r="CE44" i="36"/>
  <c r="C66" i="36"/>
  <c r="CE46" i="36"/>
  <c r="G29" i="40" s="1"/>
  <c r="CO46" i="36"/>
  <c r="K46" i="36"/>
  <c r="CH66" i="36" l="1"/>
  <c r="AZ29" i="40"/>
  <c r="X29" i="40"/>
  <c r="Y29" i="40" s="1"/>
  <c r="Z29" i="40" s="1"/>
  <c r="CI66" i="37"/>
  <c r="CI46" i="36"/>
  <c r="U46" i="36"/>
  <c r="G27" i="40"/>
  <c r="CE66" i="36"/>
  <c r="CI44" i="36"/>
  <c r="K66" i="36"/>
  <c r="CI66" i="36" s="1"/>
  <c r="CF66" i="36"/>
  <c r="BO30" i="40"/>
  <c r="I30" i="40"/>
  <c r="BQ30" i="40" s="1"/>
  <c r="I28" i="40"/>
  <c r="BQ28" i="40" s="1"/>
  <c r="BO28" i="40"/>
  <c r="I29" i="40"/>
  <c r="X27" i="40"/>
  <c r="V45" i="40"/>
  <c r="X45" i="40" s="1"/>
  <c r="V52" i="40"/>
  <c r="X52" i="40" s="1"/>
  <c r="AE29" i="40" l="1"/>
  <c r="AF29" i="40" s="1"/>
  <c r="BB29" i="40"/>
  <c r="BQ29" i="40" s="1"/>
  <c r="AZ45" i="40"/>
  <c r="BB45" i="40" s="1"/>
  <c r="AZ52" i="40"/>
  <c r="BB52" i="40" s="1"/>
  <c r="BO29" i="40"/>
  <c r="J29" i="40"/>
  <c r="I27" i="40"/>
  <c r="BQ27" i="40" s="1"/>
  <c r="BO27" i="40"/>
  <c r="G52" i="40"/>
  <c r="G45" i="40"/>
  <c r="I45" i="40" l="1"/>
  <c r="BQ45" i="40" s="1"/>
  <c r="BO45" i="40"/>
  <c r="K29" i="40"/>
  <c r="I52" i="40"/>
  <c r="BQ52" i="40" s="1"/>
  <c r="BO52" i="40"/>
  <c r="BS29" i="40" l="1"/>
  <c r="P29" i="40"/>
  <c r="Q29" i="40" s="1"/>
  <c r="CB45" i="54" l="1"/>
  <c r="CC45" i="54" s="1"/>
  <c r="BE45" i="36"/>
  <c r="BH45" i="54"/>
  <c r="BI45" i="54" s="1"/>
  <c r="BC45" i="36"/>
  <c r="AN44" i="53"/>
  <c r="BY45" i="36"/>
  <c r="AM44" i="36"/>
  <c r="CA45" i="36"/>
  <c r="BW45" i="36"/>
  <c r="AN45" i="54"/>
  <c r="AO45" i="54" s="1"/>
  <c r="AM45" i="36"/>
  <c r="BH45" i="53"/>
  <c r="BI45" i="53" s="1"/>
  <c r="AK45" i="36"/>
  <c r="BG45" i="36"/>
  <c r="CB45" i="53"/>
  <c r="CC45" i="53" s="1"/>
  <c r="AI45" i="36"/>
  <c r="CM44" i="54" l="1"/>
  <c r="CR44" i="54"/>
  <c r="AI44" i="36"/>
  <c r="BE44" i="36"/>
  <c r="CP44" i="53"/>
  <c r="CK44" i="53"/>
  <c r="CJ45" i="37"/>
  <c r="T45" i="37"/>
  <c r="CO45" i="37"/>
  <c r="M45" i="36"/>
  <c r="CO45" i="53"/>
  <c r="T45" i="53"/>
  <c r="CJ45" i="53"/>
  <c r="S45" i="36"/>
  <c r="CM45" i="37"/>
  <c r="CR45" i="37"/>
  <c r="CL45" i="37"/>
  <c r="CQ45" i="37"/>
  <c r="BG44" i="36"/>
  <c r="BH44" i="54"/>
  <c r="BU45" i="36"/>
  <c r="CB45" i="36" s="1"/>
  <c r="CC45" i="36" s="1"/>
  <c r="CB45" i="37"/>
  <c r="CC45" i="37" s="1"/>
  <c r="O44" i="36"/>
  <c r="CK44" i="37"/>
  <c r="CP44" i="37"/>
  <c r="CL44" i="53"/>
  <c r="CQ44" i="53"/>
  <c r="O45" i="36"/>
  <c r="CK45" i="37"/>
  <c r="CP45" i="37"/>
  <c r="AG45" i="36"/>
  <c r="AN45" i="36" s="1"/>
  <c r="AO45" i="36" s="1"/>
  <c r="AN45" i="37"/>
  <c r="AO45" i="37" s="1"/>
  <c r="BH44" i="53"/>
  <c r="AN44" i="54"/>
  <c r="CA44" i="36"/>
  <c r="T44" i="53"/>
  <c r="CJ44" i="53"/>
  <c r="CO44" i="53"/>
  <c r="AG44" i="36"/>
  <c r="AN44" i="37"/>
  <c r="CB44" i="53"/>
  <c r="CR45" i="53"/>
  <c r="CM45" i="53"/>
  <c r="M44" i="36"/>
  <c r="CJ44" i="37"/>
  <c r="T44" i="37"/>
  <c r="CO44" i="37"/>
  <c r="BA45" i="36"/>
  <c r="BH45" i="36" s="1"/>
  <c r="BI45" i="36" s="1"/>
  <c r="BH45" i="37"/>
  <c r="BI45" i="37" s="1"/>
  <c r="BC44" i="36"/>
  <c r="BW44" i="36"/>
  <c r="Q45" i="36"/>
  <c r="CQ45" i="53"/>
  <c r="CL45" i="53"/>
  <c r="CM44" i="53"/>
  <c r="CR44" i="53"/>
  <c r="BA44" i="36"/>
  <c r="BH44" i="37"/>
  <c r="BU44" i="36"/>
  <c r="CB44" i="37"/>
  <c r="CJ45" i="54"/>
  <c r="CO45" i="54"/>
  <c r="T45" i="54"/>
  <c r="S44" i="36"/>
  <c r="CM44" i="37"/>
  <c r="CR44" i="37"/>
  <c r="CJ44" i="54"/>
  <c r="T44" i="54"/>
  <c r="CO44" i="54"/>
  <c r="CM45" i="54"/>
  <c r="CR45" i="54"/>
  <c r="AK44" i="36"/>
  <c r="BY44" i="36"/>
  <c r="CK44" i="54"/>
  <c r="CP44" i="54"/>
  <c r="CB44" i="54"/>
  <c r="CK45" i="53"/>
  <c r="CP45" i="53"/>
  <c r="CQ45" i="54"/>
  <c r="CL45" i="54"/>
  <c r="AO44" i="53"/>
  <c r="Q44" i="36"/>
  <c r="CL44" i="37"/>
  <c r="CQ44" i="37"/>
  <c r="CQ44" i="54"/>
  <c r="CL44" i="54"/>
  <c r="AN45" i="53"/>
  <c r="AO45" i="53" s="1"/>
  <c r="CP45" i="54"/>
  <c r="CK45" i="54"/>
  <c r="CB44" i="36" l="1"/>
  <c r="BH44" i="36"/>
  <c r="AO44" i="54"/>
  <c r="CJ45" i="36"/>
  <c r="D28" i="40" s="1"/>
  <c r="T45" i="36"/>
  <c r="CO45" i="36"/>
  <c r="CL44" i="36"/>
  <c r="AH27" i="40" s="1"/>
  <c r="CQ44" i="36"/>
  <c r="U44" i="54"/>
  <c r="CN44" i="54"/>
  <c r="CC44" i="53"/>
  <c r="AO44" i="37"/>
  <c r="U44" i="53"/>
  <c r="CN44" i="53"/>
  <c r="BI44" i="53"/>
  <c r="CM45" i="36"/>
  <c r="AW28" i="40" s="1"/>
  <c r="CR45" i="36"/>
  <c r="CC44" i="54"/>
  <c r="CC44" i="37"/>
  <c r="BI44" i="37"/>
  <c r="T44" i="36"/>
  <c r="CJ44" i="36"/>
  <c r="CO44" i="36"/>
  <c r="AN44" i="36"/>
  <c r="CK44" i="36"/>
  <c r="CP44" i="36"/>
  <c r="BI44" i="54"/>
  <c r="U45" i="53"/>
  <c r="CS45" i="53" s="1"/>
  <c r="CN45" i="53"/>
  <c r="U45" i="37"/>
  <c r="CS45" i="37" s="1"/>
  <c r="CN45" i="37"/>
  <c r="CM44" i="36"/>
  <c r="AW27" i="40" s="1"/>
  <c r="CR44" i="36"/>
  <c r="U45" i="54"/>
  <c r="CS45" i="54" s="1"/>
  <c r="CN45" i="54"/>
  <c r="CL45" i="36"/>
  <c r="AH28" i="40" s="1"/>
  <c r="CQ45" i="36"/>
  <c r="U44" i="37"/>
  <c r="CN44" i="37"/>
  <c r="CK45" i="36"/>
  <c r="S28" i="40" s="1"/>
  <c r="CP45" i="36"/>
  <c r="AJ28" i="40" l="1"/>
  <c r="AN28" i="40" s="1"/>
  <c r="AT28" i="40" s="1"/>
  <c r="AU28" i="40" s="1"/>
  <c r="U28" i="40"/>
  <c r="Y28" i="40" s="1"/>
  <c r="Z28" i="40" s="1"/>
  <c r="AY27" i="40"/>
  <c r="BC27" i="40" s="1"/>
  <c r="BI27" i="40" s="1"/>
  <c r="BJ27" i="40" s="1"/>
  <c r="AY28" i="40"/>
  <c r="BC28" i="40" s="1"/>
  <c r="BI28" i="40" s="1"/>
  <c r="BJ28" i="40" s="1"/>
  <c r="AJ27" i="40"/>
  <c r="AN27" i="40" s="1"/>
  <c r="AT27" i="40" s="1"/>
  <c r="AU27" i="40" s="1"/>
  <c r="F28" i="40"/>
  <c r="BL28" i="40"/>
  <c r="CC44" i="36"/>
  <c r="CN44" i="36"/>
  <c r="U44" i="36"/>
  <c r="N27" i="28"/>
  <c r="D27" i="40"/>
  <c r="CS44" i="37"/>
  <c r="O27" i="28"/>
  <c r="CS44" i="53"/>
  <c r="L27" i="28"/>
  <c r="BI44" i="36"/>
  <c r="M27" i="28"/>
  <c r="S27" i="40"/>
  <c r="AO44" i="36"/>
  <c r="CS44" i="54"/>
  <c r="CN45" i="36"/>
  <c r="U45" i="36"/>
  <c r="CS45" i="36" s="1"/>
  <c r="AE28" i="40" l="1"/>
  <c r="AF28" i="40" s="1"/>
  <c r="AI27" i="28"/>
  <c r="AN27" i="28"/>
  <c r="AH27" i="28"/>
  <c r="AM27" i="28"/>
  <c r="AL27" i="28"/>
  <c r="AG27" i="28"/>
  <c r="AK27" i="28"/>
  <c r="AF27" i="28"/>
  <c r="P27" i="28"/>
  <c r="BL27" i="40"/>
  <c r="F27" i="40"/>
  <c r="D52" i="40"/>
  <c r="U27" i="40"/>
  <c r="Y27" i="40" s="1"/>
  <c r="Z27" i="40" s="1"/>
  <c r="S52" i="40"/>
  <c r="U52" i="40" s="1"/>
  <c r="Y52" i="40" s="1"/>
  <c r="CS44" i="36"/>
  <c r="BN28" i="40"/>
  <c r="J28" i="40"/>
  <c r="AO27" i="28" l="1"/>
  <c r="AJ27" i="28"/>
  <c r="BR28" i="40"/>
  <c r="K28" i="40"/>
  <c r="F52" i="40"/>
  <c r="AE27" i="40"/>
  <c r="AF27" i="40" s="1"/>
  <c r="Z52" i="40"/>
  <c r="AE52" i="40" s="1"/>
  <c r="BN27" i="40"/>
  <c r="J27" i="40"/>
  <c r="BS28" i="40" l="1"/>
  <c r="P28" i="40"/>
  <c r="J52" i="40"/>
  <c r="BR27" i="40"/>
  <c r="K27" i="40"/>
  <c r="P27" i="40" l="1"/>
  <c r="Q27" i="40" s="1"/>
  <c r="BY27" i="40" s="1"/>
  <c r="BX28" i="40"/>
  <c r="Q28" i="40"/>
  <c r="BY28" i="40" s="1"/>
  <c r="BS27" i="40"/>
  <c r="K52" i="40"/>
  <c r="BS52" i="40" s="1"/>
  <c r="BX27" i="40" l="1"/>
  <c r="P52" i="40"/>
  <c r="BC66" i="54" l="1"/>
  <c r="BC66" i="53"/>
  <c r="AK66" i="53"/>
  <c r="AM66" i="54"/>
  <c r="CA66" i="53"/>
  <c r="AM66" i="53"/>
  <c r="BE66" i="54"/>
  <c r="BY66" i="53"/>
  <c r="BW66" i="54"/>
  <c r="AI66" i="54"/>
  <c r="BW66" i="53"/>
  <c r="AI66" i="53"/>
  <c r="BG66" i="54"/>
  <c r="BG66" i="53"/>
  <c r="BE66" i="53"/>
  <c r="Q66" i="54" l="1"/>
  <c r="AK66" i="54"/>
  <c r="AN47" i="54" l="1"/>
  <c r="AG66" i="54"/>
  <c r="CR47" i="54"/>
  <c r="CM47" i="54"/>
  <c r="S66" i="54"/>
  <c r="BH47" i="54"/>
  <c r="BA66" i="54"/>
  <c r="T47" i="53"/>
  <c r="CO47" i="53"/>
  <c r="CO66" i="53" s="1"/>
  <c r="CJ47" i="53"/>
  <c r="CJ66" i="53" s="1"/>
  <c r="M66" i="53"/>
  <c r="CR47" i="53"/>
  <c r="CR66" i="53" s="1"/>
  <c r="CM47" i="53"/>
  <c r="CM66" i="53" s="1"/>
  <c r="S66" i="53"/>
  <c r="CP47" i="54"/>
  <c r="CP66" i="54" s="1"/>
  <c r="CK47" i="54"/>
  <c r="CK66" i="54" s="1"/>
  <c r="O66" i="54"/>
  <c r="AN47" i="53"/>
  <c r="AG66" i="53"/>
  <c r="CA47" i="36"/>
  <c r="CB47" i="53"/>
  <c r="BU66" i="53"/>
  <c r="CP47" i="53"/>
  <c r="CP66" i="53" s="1"/>
  <c r="CK47" i="53"/>
  <c r="CK66" i="53" s="1"/>
  <c r="O66" i="53"/>
  <c r="T47" i="54"/>
  <c r="CO47" i="54"/>
  <c r="CO66" i="54" s="1"/>
  <c r="CJ47" i="54"/>
  <c r="CJ66" i="54" s="1"/>
  <c r="M66" i="54"/>
  <c r="CL47" i="54"/>
  <c r="CQ47" i="53"/>
  <c r="CQ66" i="53" s="1"/>
  <c r="CL47" i="53"/>
  <c r="CL66" i="53" s="1"/>
  <c r="Q66" i="53"/>
  <c r="BY47" i="36"/>
  <c r="BH47" i="53"/>
  <c r="BA66" i="53"/>
  <c r="CQ47" i="54"/>
  <c r="CB47" i="54"/>
  <c r="CC47" i="54" s="1"/>
  <c r="BU66" i="54"/>
  <c r="AM47" i="36" l="1"/>
  <c r="AM66" i="36" s="1"/>
  <c r="AM66" i="37"/>
  <c r="AG47" i="36"/>
  <c r="AN47" i="37"/>
  <c r="AG66" i="37"/>
  <c r="CB46" i="54"/>
  <c r="CQ46" i="54"/>
  <c r="CQ66" i="54" s="1"/>
  <c r="CL46" i="54"/>
  <c r="CL66" i="54" s="1"/>
  <c r="BY66" i="54"/>
  <c r="U47" i="53"/>
  <c r="U66" i="53" s="1"/>
  <c r="CN47" i="53"/>
  <c r="T66" i="53"/>
  <c r="Q47" i="36"/>
  <c r="CL47" i="37"/>
  <c r="CQ47" i="37"/>
  <c r="Q66" i="37"/>
  <c r="BY46" i="36"/>
  <c r="CL46" i="37"/>
  <c r="CB46" i="37"/>
  <c r="CQ46" i="37"/>
  <c r="BY66" i="37"/>
  <c r="O47" i="36"/>
  <c r="CK47" i="37"/>
  <c r="CK66" i="37" s="1"/>
  <c r="CP47" i="37"/>
  <c r="CP66" i="37" s="1"/>
  <c r="O66" i="37"/>
  <c r="BI47" i="54"/>
  <c r="BI66" i="54" s="1"/>
  <c r="BH66" i="54"/>
  <c r="CR46" i="54"/>
  <c r="CR66" i="54" s="1"/>
  <c r="CM46" i="54"/>
  <c r="CM66" i="54" s="1"/>
  <c r="CA66" i="54"/>
  <c r="AI47" i="36"/>
  <c r="AI66" i="36" s="1"/>
  <c r="AI66" i="37"/>
  <c r="BC47" i="36"/>
  <c r="BC66" i="36" s="1"/>
  <c r="BC66" i="37"/>
  <c r="CA46" i="36"/>
  <c r="CM46" i="37"/>
  <c r="CR46" i="37"/>
  <c r="CA66" i="37"/>
  <c r="BG47" i="36"/>
  <c r="BG66" i="36" s="1"/>
  <c r="BG66" i="37"/>
  <c r="CC47" i="53"/>
  <c r="CC66" i="53" s="1"/>
  <c r="CB66" i="53"/>
  <c r="BE47" i="36"/>
  <c r="BE66" i="36" s="1"/>
  <c r="BE66" i="37"/>
  <c r="BU47" i="36"/>
  <c r="CB47" i="37"/>
  <c r="CC47" i="37" s="1"/>
  <c r="BU66" i="37"/>
  <c r="U47" i="54"/>
  <c r="U66" i="54" s="1"/>
  <c r="CN47" i="54"/>
  <c r="T66" i="54"/>
  <c r="BI47" i="53"/>
  <c r="BI66" i="53" s="1"/>
  <c r="BH66" i="53"/>
  <c r="M47" i="36"/>
  <c r="CJ47" i="37"/>
  <c r="CJ66" i="37" s="1"/>
  <c r="T47" i="37"/>
  <c r="CO47" i="37"/>
  <c r="CO66" i="37" s="1"/>
  <c r="M66" i="37"/>
  <c r="BW47" i="36"/>
  <c r="BW66" i="36" s="1"/>
  <c r="BW66" i="37"/>
  <c r="S47" i="36"/>
  <c r="CM47" i="37"/>
  <c r="CR47" i="37"/>
  <c r="S66" i="37"/>
  <c r="AO47" i="53"/>
  <c r="AN66" i="53"/>
  <c r="AK47" i="36"/>
  <c r="AK66" i="36" s="1"/>
  <c r="AK66" i="37"/>
  <c r="BA47" i="36"/>
  <c r="BH47" i="37"/>
  <c r="BA66" i="37"/>
  <c r="AO47" i="54"/>
  <c r="AO66" i="54" s="1"/>
  <c r="AN66" i="54"/>
  <c r="CL66" i="37" l="1"/>
  <c r="CQ66" i="37"/>
  <c r="CS47" i="53"/>
  <c r="AO66" i="53"/>
  <c r="CS66" i="53" s="1"/>
  <c r="AO47" i="37"/>
  <c r="AO66" i="37" s="1"/>
  <c r="AN66" i="37"/>
  <c r="U47" i="37"/>
  <c r="U66" i="37" s="1"/>
  <c r="CN47" i="37"/>
  <c r="T66" i="37"/>
  <c r="CS47" i="54"/>
  <c r="CC46" i="37"/>
  <c r="CN46" i="37"/>
  <c r="CB66" i="37"/>
  <c r="AN47" i="36"/>
  <c r="AG66" i="36"/>
  <c r="BI47" i="37"/>
  <c r="BI66" i="37" s="1"/>
  <c r="BH66" i="37"/>
  <c r="CB47" i="36"/>
  <c r="CC47" i="36" s="1"/>
  <c r="BU66" i="36"/>
  <c r="CR66" i="37"/>
  <c r="CK47" i="36"/>
  <c r="CP47" i="36"/>
  <c r="O66" i="36"/>
  <c r="CC46" i="54"/>
  <c r="CN46" i="54"/>
  <c r="CB66" i="54"/>
  <c r="CM47" i="36"/>
  <c r="AW30" i="40" s="1"/>
  <c r="CR47" i="36"/>
  <c r="S66" i="36"/>
  <c r="CM46" i="36"/>
  <c r="AW29" i="40" s="1"/>
  <c r="CR46" i="36"/>
  <c r="CA66" i="36"/>
  <c r="BH47" i="36"/>
  <c r="BA66" i="36"/>
  <c r="T47" i="36"/>
  <c r="CJ47" i="36"/>
  <c r="CO47" i="36"/>
  <c r="CO66" i="36" s="1"/>
  <c r="M66" i="36"/>
  <c r="CM66" i="37"/>
  <c r="CL46" i="36"/>
  <c r="AH29" i="40" s="1"/>
  <c r="CB46" i="36"/>
  <c r="CQ46" i="36"/>
  <c r="BY66" i="36"/>
  <c r="CL47" i="36"/>
  <c r="AH30" i="40" s="1"/>
  <c r="CQ47" i="36"/>
  <c r="Q66" i="36"/>
  <c r="AJ30" i="40" l="1"/>
  <c r="AN30" i="40" s="1"/>
  <c r="AT30" i="40" s="1"/>
  <c r="AY30" i="40"/>
  <c r="BC30" i="40" s="1"/>
  <c r="BI30" i="40" s="1"/>
  <c r="BJ30" i="40" s="1"/>
  <c r="AY29" i="40"/>
  <c r="BC29" i="40" s="1"/>
  <c r="BI29" i="40" s="1"/>
  <c r="AW45" i="40"/>
  <c r="AY45" i="40" s="1"/>
  <c r="BC45" i="40" s="1"/>
  <c r="BI45" i="40" s="1"/>
  <c r="AW52" i="40"/>
  <c r="AY52" i="40" s="1"/>
  <c r="BC52" i="40" s="1"/>
  <c r="BI52" i="40" s="1"/>
  <c r="AJ29" i="40"/>
  <c r="BL29" i="40"/>
  <c r="AH52" i="40"/>
  <c r="AH45" i="40"/>
  <c r="AJ45" i="40" s="1"/>
  <c r="AN45" i="40" s="1"/>
  <c r="AT45" i="40" s="1"/>
  <c r="CS47" i="37"/>
  <c r="CC46" i="36"/>
  <c r="CN46" i="36"/>
  <c r="CB66" i="36"/>
  <c r="CL66" i="36"/>
  <c r="D30" i="40"/>
  <c r="CJ66" i="36"/>
  <c r="O28" i="28"/>
  <c r="CS46" i="54"/>
  <c r="CC66" i="54"/>
  <c r="CS66" i="54" s="1"/>
  <c r="AO47" i="36"/>
  <c r="AO66" i="36" s="1"/>
  <c r="AN66" i="36"/>
  <c r="N28" i="28"/>
  <c r="AU30" i="40"/>
  <c r="L28" i="28"/>
  <c r="BI47" i="36"/>
  <c r="BI66" i="36" s="1"/>
  <c r="BH66" i="36"/>
  <c r="S30" i="40"/>
  <c r="CK66" i="36"/>
  <c r="CS46" i="37"/>
  <c r="CC66" i="37"/>
  <c r="CS66" i="37" s="1"/>
  <c r="CN47" i="36"/>
  <c r="U47" i="36"/>
  <c r="U66" i="36" s="1"/>
  <c r="T66" i="36"/>
  <c r="BJ29" i="40"/>
  <c r="CR66" i="36"/>
  <c r="E39" i="6" s="1"/>
  <c r="CQ66" i="36"/>
  <c r="D39" i="6" s="1"/>
  <c r="CM66" i="36"/>
  <c r="M28" i="28"/>
  <c r="CP66" i="36"/>
  <c r="AU45" i="40" l="1"/>
  <c r="BJ45" i="40"/>
  <c r="AI28" i="28"/>
  <c r="AN28" i="28"/>
  <c r="AJ52" i="40"/>
  <c r="BL52" i="40"/>
  <c r="AN29" i="40"/>
  <c r="BN29" i="40"/>
  <c r="AH28" i="28"/>
  <c r="AM28" i="28"/>
  <c r="D21" i="6"/>
  <c r="B44" i="7"/>
  <c r="CS47" i="36"/>
  <c r="P28" i="28"/>
  <c r="AF28" i="28"/>
  <c r="AK28" i="28"/>
  <c r="C21" i="6"/>
  <c r="B43" i="7"/>
  <c r="C39" i="6"/>
  <c r="B45" i="7"/>
  <c r="E21" i="6"/>
  <c r="B42" i="7"/>
  <c r="B39" i="6"/>
  <c r="B21" i="6"/>
  <c r="AG28" i="28"/>
  <c r="AL28" i="28"/>
  <c r="U30" i="40"/>
  <c r="Y30" i="40" s="1"/>
  <c r="Z30" i="40" s="1"/>
  <c r="S45" i="40"/>
  <c r="U45" i="40" s="1"/>
  <c r="Y45" i="40" s="1"/>
  <c r="BL30" i="40"/>
  <c r="F30" i="40"/>
  <c r="D45" i="40"/>
  <c r="CS46" i="36"/>
  <c r="CC66" i="36"/>
  <c r="CS66" i="36" s="1"/>
  <c r="AT29" i="40" l="1"/>
  <c r="BR29" i="40"/>
  <c r="AN52" i="40"/>
  <c r="BN52" i="40"/>
  <c r="AJ28" i="28"/>
  <c r="AO28" i="28"/>
  <c r="BL45" i="40"/>
  <c r="F45" i="40"/>
  <c r="AE30" i="40"/>
  <c r="Z45" i="40"/>
  <c r="AE45" i="40" s="1"/>
  <c r="BN30" i="40"/>
  <c r="J30" i="40"/>
  <c r="AF45" i="40" l="1"/>
  <c r="AF30" i="40"/>
  <c r="AT52" i="40"/>
  <c r="BR52" i="40"/>
  <c r="BX29" i="40"/>
  <c r="AU29" i="40"/>
  <c r="BY29" i="40" s="1"/>
  <c r="BR30" i="40"/>
  <c r="K30" i="40"/>
  <c r="BN45" i="40"/>
  <c r="J45" i="40"/>
  <c r="BX52" i="40" l="1"/>
  <c r="P30" i="40"/>
  <c r="BR45" i="40"/>
  <c r="BS30" i="40"/>
  <c r="K45" i="40"/>
  <c r="BS45" i="40" s="1"/>
  <c r="Q30" i="40" l="1"/>
  <c r="BY30" i="40" s="1"/>
  <c r="BX30" i="40"/>
  <c r="P45" i="40"/>
  <c r="BX45" i="40" l="1"/>
  <c r="Q45" i="40"/>
  <c r="BY45" i="40" s="1"/>
  <c r="BE23" i="53" l="1"/>
  <c r="AM23" i="54"/>
  <c r="BC23" i="53"/>
  <c r="BG23" i="53"/>
  <c r="BE23" i="54"/>
  <c r="BW23" i="53"/>
  <c r="AI23" i="53"/>
  <c r="BC23" i="54"/>
  <c r="AK23" i="54"/>
  <c r="AK23" i="53"/>
  <c r="BG23" i="54"/>
  <c r="CA23" i="54"/>
  <c r="BY23" i="54"/>
  <c r="CA23" i="53"/>
  <c r="AM23" i="53"/>
  <c r="BW23" i="54"/>
  <c r="AI23" i="54"/>
  <c r="BY23" i="53"/>
  <c r="AI22" i="36" l="1"/>
  <c r="AI23" i="36" s="1"/>
  <c r="AI23" i="37"/>
  <c r="BW22" i="36"/>
  <c r="BW23" i="36" s="1"/>
  <c r="BW23" i="37"/>
  <c r="BY22" i="36"/>
  <c r="BY23" i="36" s="1"/>
  <c r="BY23" i="37"/>
  <c r="BA23" i="37"/>
  <c r="BA22" i="36"/>
  <c r="BH22" i="37"/>
  <c r="BI22" i="37" s="1"/>
  <c r="CJ22" i="37"/>
  <c r="M22" i="36"/>
  <c r="T22" i="37"/>
  <c r="M23" i="37"/>
  <c r="CO22" i="37"/>
  <c r="CP22" i="54"/>
  <c r="CK22" i="54"/>
  <c r="O23" i="54"/>
  <c r="CO22" i="54"/>
  <c r="T22" i="54"/>
  <c r="CJ22" i="54"/>
  <c r="M23" i="54"/>
  <c r="S23" i="53"/>
  <c r="CM22" i="53"/>
  <c r="CR22" i="53"/>
  <c r="AN22" i="54"/>
  <c r="AO22" i="54" s="1"/>
  <c r="AG23" i="54"/>
  <c r="AN23" i="54" s="1"/>
  <c r="AO23" i="54" s="1"/>
  <c r="BG22" i="36"/>
  <c r="BG23" i="36" s="1"/>
  <c r="BG23" i="37"/>
  <c r="CP22" i="37"/>
  <c r="O22" i="36"/>
  <c r="CK22" i="37"/>
  <c r="O23" i="37"/>
  <c r="CA22" i="36"/>
  <c r="CA23" i="36" s="1"/>
  <c r="CA23" i="37"/>
  <c r="CQ22" i="37"/>
  <c r="CL22" i="37"/>
  <c r="Q22" i="36"/>
  <c r="Q23" i="37"/>
  <c r="CL22" i="54"/>
  <c r="Q23" i="54"/>
  <c r="CQ22" i="54"/>
  <c r="AG23" i="37"/>
  <c r="AG22" i="36"/>
  <c r="AN22" i="37"/>
  <c r="AO22" i="37" s="1"/>
  <c r="CO22" i="53"/>
  <c r="T22" i="53"/>
  <c r="CJ22" i="53"/>
  <c r="M23" i="53"/>
  <c r="BH22" i="54"/>
  <c r="BI22" i="54" s="1"/>
  <c r="BA23" i="54"/>
  <c r="BH23" i="54" s="1"/>
  <c r="BI23" i="54" s="1"/>
  <c r="S22" i="36"/>
  <c r="CM22" i="37"/>
  <c r="S23" i="37"/>
  <c r="CR22" i="37"/>
  <c r="CR22" i="54"/>
  <c r="CM22" i="54"/>
  <c r="S23" i="54"/>
  <c r="AK22" i="36"/>
  <c r="AK23" i="36" s="1"/>
  <c r="AK23" i="37"/>
  <c r="CB22" i="53"/>
  <c r="CC22" i="53" s="1"/>
  <c r="BU23" i="53"/>
  <c r="CB23" i="53" s="1"/>
  <c r="CC23" i="53" s="1"/>
  <c r="BE22" i="36"/>
  <c r="BE23" i="36" s="1"/>
  <c r="BE23" i="37"/>
  <c r="BU23" i="54"/>
  <c r="CB23" i="54" s="1"/>
  <c r="CC23" i="54" s="1"/>
  <c r="CB22" i="54"/>
  <c r="CC22" i="54" s="1"/>
  <c r="CP22" i="53"/>
  <c r="CK22" i="53"/>
  <c r="O23" i="53"/>
  <c r="BH22" i="53"/>
  <c r="BI22" i="53" s="1"/>
  <c r="BA23" i="53"/>
  <c r="BH23" i="53" s="1"/>
  <c r="BI23" i="53" s="1"/>
  <c r="CQ22" i="53"/>
  <c r="Q23" i="53"/>
  <c r="CL22" i="53"/>
  <c r="BU22" i="36"/>
  <c r="BU23" i="37"/>
  <c r="CB22" i="37"/>
  <c r="CC22" i="37" s="1"/>
  <c r="AM22" i="36"/>
  <c r="AM23" i="36" s="1"/>
  <c r="AM23" i="37"/>
  <c r="AG23" i="53"/>
  <c r="AN23" i="53" s="1"/>
  <c r="AO23" i="53" s="1"/>
  <c r="AN22" i="53"/>
  <c r="AO22" i="53" s="1"/>
  <c r="BC22" i="36"/>
  <c r="BC23" i="36" s="1"/>
  <c r="BC23" i="37"/>
  <c r="CJ23" i="53" l="1"/>
  <c r="T23" i="53"/>
  <c r="CO23" i="53"/>
  <c r="CL23" i="54"/>
  <c r="CQ23" i="54"/>
  <c r="CB23" i="37"/>
  <c r="CC23" i="37" s="1"/>
  <c r="CM22" i="36"/>
  <c r="CR22" i="36"/>
  <c r="S23" i="36"/>
  <c r="AN22" i="36"/>
  <c r="AO22" i="36" s="1"/>
  <c r="AG23" i="36"/>
  <c r="AN23" i="36" s="1"/>
  <c r="AO23" i="36" s="1"/>
  <c r="CN22" i="54"/>
  <c r="U22" i="54"/>
  <c r="CS22" i="54" s="1"/>
  <c r="T22" i="36"/>
  <c r="CO22" i="36"/>
  <c r="M23" i="36"/>
  <c r="CJ22" i="36"/>
  <c r="BH23" i="37"/>
  <c r="BI23" i="37" s="1"/>
  <c r="CK23" i="53"/>
  <c r="CP23" i="53"/>
  <c r="CP23" i="37"/>
  <c r="CK23" i="37"/>
  <c r="U22" i="37"/>
  <c r="CS22" i="37" s="1"/>
  <c r="CN22" i="37"/>
  <c r="BA23" i="36"/>
  <c r="BH23" i="36" s="1"/>
  <c r="BI23" i="36" s="1"/>
  <c r="BH22" i="36"/>
  <c r="BI22" i="36" s="1"/>
  <c r="CB22" i="36"/>
  <c r="CC22" i="36" s="1"/>
  <c r="BU23" i="36"/>
  <c r="CB23" i="36" s="1"/>
  <c r="CC23" i="36" s="1"/>
  <c r="U22" i="53"/>
  <c r="CS22" i="53" s="1"/>
  <c r="CN22" i="53"/>
  <c r="AN23" i="37"/>
  <c r="AO23" i="37" s="1"/>
  <c r="CL23" i="37"/>
  <c r="CQ23" i="37"/>
  <c r="CK22" i="36"/>
  <c r="O23" i="36"/>
  <c r="CP22" i="36"/>
  <c r="CM23" i="53"/>
  <c r="CR23" i="53"/>
  <c r="CL23" i="53"/>
  <c r="CQ23" i="53"/>
  <c r="CR23" i="54"/>
  <c r="CM23" i="54"/>
  <c r="CM23" i="37"/>
  <c r="CR23" i="37"/>
  <c r="CQ22" i="36"/>
  <c r="CL22" i="36"/>
  <c r="Q23" i="36"/>
  <c r="CO23" i="54"/>
  <c r="CJ23" i="54"/>
  <c r="T23" i="54"/>
  <c r="CP23" i="54"/>
  <c r="CK23" i="54"/>
  <c r="CO23" i="37"/>
  <c r="T23" i="37"/>
  <c r="CJ23" i="37"/>
  <c r="CN22" i="36" l="1"/>
  <c r="U22" i="36"/>
  <c r="CS22" i="36" s="1"/>
  <c r="CN23" i="53"/>
  <c r="U23" i="53"/>
  <c r="CS23" i="53" s="1"/>
  <c r="U23" i="37"/>
  <c r="CS23" i="37" s="1"/>
  <c r="CN23" i="37"/>
  <c r="CP23" i="36"/>
  <c r="CK23" i="36"/>
  <c r="CR23" i="36"/>
  <c r="CM23" i="36"/>
  <c r="U23" i="54"/>
  <c r="CS23" i="54" s="1"/>
  <c r="CN23" i="54"/>
  <c r="CL23" i="36"/>
  <c r="CQ23" i="36"/>
  <c r="CO23" i="36"/>
  <c r="T23" i="36"/>
  <c r="CJ23" i="36"/>
  <c r="E32" i="6" l="1"/>
  <c r="C45" i="7"/>
  <c r="C42" i="7"/>
  <c r="B32" i="6"/>
  <c r="D32" i="6"/>
  <c r="C44" i="7"/>
  <c r="C32" i="6"/>
  <c r="C43" i="7"/>
  <c r="CN23" i="36"/>
  <c r="U23" i="36"/>
  <c r="CS23" i="36" s="1"/>
  <c r="CP25" i="53" l="1"/>
  <c r="CF25" i="53"/>
  <c r="CR25" i="53"/>
  <c r="CH25" i="53"/>
  <c r="BS25" i="37"/>
  <c r="CE25" i="37"/>
  <c r="BK25" i="36"/>
  <c r="CO25" i="37"/>
  <c r="CP25" i="54"/>
  <c r="CF25" i="54"/>
  <c r="CG25" i="37"/>
  <c r="CQ25" i="37"/>
  <c r="BO25" i="36"/>
  <c r="CH25" i="54"/>
  <c r="CR25" i="54"/>
  <c r="BL25" i="36"/>
  <c r="BP25" i="36"/>
  <c r="BS25" i="53"/>
  <c r="CO25" i="53"/>
  <c r="CE25" i="53"/>
  <c r="BN25" i="36"/>
  <c r="CQ25" i="53"/>
  <c r="CG25" i="53"/>
  <c r="BR25" i="36"/>
  <c r="CE25" i="54"/>
  <c r="BS25" i="54"/>
  <c r="CO25" i="54"/>
  <c r="BM25" i="36"/>
  <c r="CP25" i="37"/>
  <c r="CF25" i="37"/>
  <c r="CQ25" i="54"/>
  <c r="CG25" i="54"/>
  <c r="CR25" i="37"/>
  <c r="CH25" i="37"/>
  <c r="BQ25" i="36"/>
  <c r="CF25" i="36" l="1"/>
  <c r="CP25" i="36"/>
  <c r="CC25" i="37"/>
  <c r="CS25" i="37" s="1"/>
  <c r="CI25" i="37"/>
  <c r="CC25" i="54"/>
  <c r="CS25" i="54" s="1"/>
  <c r="CI25" i="54"/>
  <c r="CC25" i="53"/>
  <c r="CS25" i="53" s="1"/>
  <c r="CI25" i="53"/>
  <c r="CG25" i="36"/>
  <c r="CQ25" i="36"/>
  <c r="CH25" i="36"/>
  <c r="CR25" i="36"/>
  <c r="CE25" i="36"/>
  <c r="BS25" i="36"/>
  <c r="CO25" i="36"/>
  <c r="CC25" i="36" l="1"/>
  <c r="CS25" i="36" s="1"/>
  <c r="CI25" i="36"/>
  <c r="BT30" i="53" l="1"/>
  <c r="AJ30" i="53"/>
  <c r="AJ32" i="53" s="1"/>
  <c r="O30" i="54"/>
  <c r="O32" i="54" s="1"/>
  <c r="BY30" i="54"/>
  <c r="BY32" i="54" s="1"/>
  <c r="AG30" i="54"/>
  <c r="AG32" i="54" s="1"/>
  <c r="BB30" i="53"/>
  <c r="BB32" i="53" s="1"/>
  <c r="BB30" i="54"/>
  <c r="BB32" i="54" s="1"/>
  <c r="BC30" i="53"/>
  <c r="BC32" i="53" s="1"/>
  <c r="BC30" i="54"/>
  <c r="BC32" i="54" s="1"/>
  <c r="BX30" i="53"/>
  <c r="BX32" i="53" s="1"/>
  <c r="AK30" i="54"/>
  <c r="AK32" i="54" s="1"/>
  <c r="BF30" i="53"/>
  <c r="BF32" i="53" s="1"/>
  <c r="BU30" i="54"/>
  <c r="BU32" i="54" s="1"/>
  <c r="BE30" i="53"/>
  <c r="BE32" i="53" s="1"/>
  <c r="M30" i="53"/>
  <c r="M32" i="53" s="1"/>
  <c r="BE30" i="54"/>
  <c r="BE32" i="54" s="1"/>
  <c r="M30" i="54"/>
  <c r="M32" i="54" s="1"/>
  <c r="AH30" i="54"/>
  <c r="AH32" i="54" s="1"/>
  <c r="AI30" i="53"/>
  <c r="AI32" i="53" s="1"/>
  <c r="BG30" i="53"/>
  <c r="BG32" i="53" s="1"/>
  <c r="BX30" i="54"/>
  <c r="BX32" i="54" s="1"/>
  <c r="Q30" i="53"/>
  <c r="Q32" i="53" s="1"/>
  <c r="BP30" i="54"/>
  <c r="BP32" i="54" s="1"/>
  <c r="BF30" i="54"/>
  <c r="BF32" i="54" s="1"/>
  <c r="BA30" i="53"/>
  <c r="BA32" i="53" s="1"/>
  <c r="AJ30" i="54"/>
  <c r="AJ32" i="54" s="1"/>
  <c r="BZ30" i="53"/>
  <c r="BZ32" i="53" s="1"/>
  <c r="S30" i="53"/>
  <c r="S32" i="53" s="1"/>
  <c r="AH30" i="53"/>
  <c r="AH32" i="53" s="1"/>
  <c r="AK30" i="53"/>
  <c r="AK32" i="53" s="1"/>
  <c r="BZ30" i="54"/>
  <c r="BZ32" i="54" s="1"/>
  <c r="BU30" i="53"/>
  <c r="BU32" i="53" s="1"/>
  <c r="AI30" i="54"/>
  <c r="AI32" i="54" s="1"/>
  <c r="BN30" i="53"/>
  <c r="BN32" i="53" s="1"/>
  <c r="BD30" i="53"/>
  <c r="BD32" i="53" s="1"/>
  <c r="S30" i="54"/>
  <c r="S32" i="54" s="1"/>
  <c r="Q30" i="54"/>
  <c r="Q32" i="54" s="1"/>
  <c r="AL30" i="53"/>
  <c r="AL32" i="53" s="1"/>
  <c r="CA30" i="54"/>
  <c r="CA32" i="54" s="1"/>
  <c r="BA30" i="54"/>
  <c r="BA32" i="54" s="1"/>
  <c r="AM30" i="54"/>
  <c r="AM32" i="54" s="1"/>
  <c r="BV30" i="53"/>
  <c r="BV32" i="53" s="1"/>
  <c r="AM30" i="53"/>
  <c r="AM32" i="53" s="1"/>
  <c r="BW30" i="53"/>
  <c r="BW32" i="53" s="1"/>
  <c r="CA30" i="53"/>
  <c r="CA32" i="53" s="1"/>
  <c r="BW30" i="54"/>
  <c r="BW32" i="54" s="1"/>
  <c r="AR30" i="53"/>
  <c r="AR32" i="53" s="1"/>
  <c r="BG30" i="54"/>
  <c r="BG32" i="54" s="1"/>
  <c r="O30" i="53"/>
  <c r="O32" i="53" s="1"/>
  <c r="BD30" i="54"/>
  <c r="BD32" i="54" s="1"/>
  <c r="BY30" i="53"/>
  <c r="BY32" i="53" s="1"/>
  <c r="AL30" i="54"/>
  <c r="AL32" i="54" s="1"/>
  <c r="AG30" i="53"/>
  <c r="AG32" i="53" s="1"/>
  <c r="BV30" i="54"/>
  <c r="BV32" i="54" s="1"/>
  <c r="AM30" i="37" l="1"/>
  <c r="AM32" i="37" s="1"/>
  <c r="AM29" i="36"/>
  <c r="AM30" i="36" s="1"/>
  <c r="AM32" i="36" s="1"/>
  <c r="BF95" i="54"/>
  <c r="BF94" i="54"/>
  <c r="BF96" i="54"/>
  <c r="BF97" i="54"/>
  <c r="CK29" i="53"/>
  <c r="N30" i="53"/>
  <c r="P30" i="53"/>
  <c r="CL29" i="53"/>
  <c r="AL96" i="54"/>
  <c r="AL95" i="54"/>
  <c r="AL94" i="54"/>
  <c r="AL97" i="54"/>
  <c r="AG29" i="36"/>
  <c r="AG30" i="36" s="1"/>
  <c r="AG32" i="36" s="1"/>
  <c r="AG30" i="37"/>
  <c r="AG32" i="37" s="1"/>
  <c r="AH97" i="53"/>
  <c r="AH94" i="53"/>
  <c r="AH95" i="53"/>
  <c r="AH96" i="53"/>
  <c r="AF30" i="54"/>
  <c r="AN29" i="54"/>
  <c r="AL29" i="36"/>
  <c r="AL30" i="36" s="1"/>
  <c r="AL32" i="36" s="1"/>
  <c r="AL30" i="37"/>
  <c r="AL32" i="37" s="1"/>
  <c r="AH30" i="37"/>
  <c r="AH32" i="37" s="1"/>
  <c r="AH29" i="36"/>
  <c r="AH30" i="36" s="1"/>
  <c r="AH32" i="36" s="1"/>
  <c r="BF97" i="53"/>
  <c r="BF94" i="53"/>
  <c r="BF96" i="53"/>
  <c r="BF95" i="53"/>
  <c r="AZ30" i="53"/>
  <c r="BH29" i="53"/>
  <c r="BZ29" i="36"/>
  <c r="BZ30" i="36" s="1"/>
  <c r="BZ32" i="36" s="1"/>
  <c r="BZ30" i="37"/>
  <c r="BZ32" i="37" s="1"/>
  <c r="BB94" i="53"/>
  <c r="BB95" i="53"/>
  <c r="BB96" i="53"/>
  <c r="BB97" i="53"/>
  <c r="M29" i="36"/>
  <c r="M30" i="36" s="1"/>
  <c r="M32" i="36" s="1"/>
  <c r="M30" i="37"/>
  <c r="M32" i="37" s="1"/>
  <c r="CB29" i="37"/>
  <c r="BT30" i="37"/>
  <c r="BT29" i="36"/>
  <c r="AZ30" i="54"/>
  <c r="BH29" i="54"/>
  <c r="BV94" i="53"/>
  <c r="BV97" i="53"/>
  <c r="BV96" i="53"/>
  <c r="BV95" i="53"/>
  <c r="AJ95" i="54"/>
  <c r="AJ94" i="54"/>
  <c r="AJ97" i="54"/>
  <c r="AJ96" i="54"/>
  <c r="AI29" i="36"/>
  <c r="AI30" i="36" s="1"/>
  <c r="AI32" i="36" s="1"/>
  <c r="AI30" i="37"/>
  <c r="AI32" i="37" s="1"/>
  <c r="BU29" i="36"/>
  <c r="BU30" i="36" s="1"/>
  <c r="BU32" i="36" s="1"/>
  <c r="BU30" i="37"/>
  <c r="BU32" i="37" s="1"/>
  <c r="CL29" i="37"/>
  <c r="P30" i="37"/>
  <c r="P29" i="36"/>
  <c r="R30" i="53"/>
  <c r="CM29" i="53"/>
  <c r="L30" i="53"/>
  <c r="CJ29" i="53"/>
  <c r="T29" i="53"/>
  <c r="BB29" i="36"/>
  <c r="BB30" i="36" s="1"/>
  <c r="BB32" i="36" s="1"/>
  <c r="BB30" i="37"/>
  <c r="BB32" i="37" s="1"/>
  <c r="L30" i="54"/>
  <c r="T29" i="54"/>
  <c r="CJ29" i="54"/>
  <c r="CM29" i="37"/>
  <c r="R30" i="37"/>
  <c r="R29" i="36"/>
  <c r="BX29" i="36"/>
  <c r="BX30" i="36" s="1"/>
  <c r="BX32" i="36" s="1"/>
  <c r="BX30" i="37"/>
  <c r="BX32" i="37" s="1"/>
  <c r="BY30" i="37"/>
  <c r="BY32" i="37" s="1"/>
  <c r="BY29" i="36"/>
  <c r="BY30" i="36" s="1"/>
  <c r="BY32" i="36" s="1"/>
  <c r="BD96" i="53"/>
  <c r="BD97" i="53"/>
  <c r="BD94" i="53"/>
  <c r="BD95" i="53"/>
  <c r="BC30" i="37"/>
  <c r="BC32" i="37" s="1"/>
  <c r="BC29" i="36"/>
  <c r="BC30" i="36" s="1"/>
  <c r="BC32" i="36" s="1"/>
  <c r="BV30" i="37"/>
  <c r="BV32" i="37" s="1"/>
  <c r="BV29" i="36"/>
  <c r="BV30" i="36" s="1"/>
  <c r="BV32" i="36" s="1"/>
  <c r="CJ29" i="37"/>
  <c r="T29" i="37"/>
  <c r="L30" i="37"/>
  <c r="L29" i="36"/>
  <c r="BX95" i="54"/>
  <c r="BX94" i="54"/>
  <c r="BX97" i="54"/>
  <c r="BX96" i="54"/>
  <c r="BA30" i="37"/>
  <c r="BA32" i="37" s="1"/>
  <c r="BA29" i="36"/>
  <c r="BA30" i="36" s="1"/>
  <c r="BA32" i="36" s="1"/>
  <c r="AF30" i="53"/>
  <c r="AN29" i="53"/>
  <c r="Q30" i="37"/>
  <c r="Q32" i="37" s="1"/>
  <c r="Q29" i="36"/>
  <c r="Q30" i="36" s="1"/>
  <c r="Q32" i="36" s="1"/>
  <c r="BB94" i="54"/>
  <c r="BB95" i="54"/>
  <c r="BB97" i="54"/>
  <c r="BB96" i="54"/>
  <c r="CM29" i="54"/>
  <c r="R30" i="54"/>
  <c r="BW29" i="36"/>
  <c r="BW30" i="36" s="1"/>
  <c r="BW32" i="36" s="1"/>
  <c r="BW30" i="37"/>
  <c r="BW32" i="37" s="1"/>
  <c r="BE29" i="36"/>
  <c r="BE30" i="36" s="1"/>
  <c r="BE32" i="36" s="1"/>
  <c r="BE30" i="37"/>
  <c r="BE32" i="37" s="1"/>
  <c r="CB29" i="53"/>
  <c r="CA30" i="37"/>
  <c r="CA32" i="37" s="1"/>
  <c r="CA29" i="36"/>
  <c r="CA30" i="36" s="1"/>
  <c r="CA32" i="36" s="1"/>
  <c r="AJ29" i="36"/>
  <c r="AJ30" i="36" s="1"/>
  <c r="AJ32" i="36" s="1"/>
  <c r="AJ30" i="37"/>
  <c r="AJ32" i="37" s="1"/>
  <c r="AL96" i="53"/>
  <c r="AL97" i="53"/>
  <c r="AL95" i="53"/>
  <c r="AL94" i="53"/>
  <c r="CK29" i="54"/>
  <c r="N30" i="54"/>
  <c r="BF29" i="36"/>
  <c r="BF30" i="36" s="1"/>
  <c r="BF32" i="36" s="1"/>
  <c r="BF30" i="37"/>
  <c r="BF32" i="37" s="1"/>
  <c r="BT30" i="54"/>
  <c r="CB29" i="54"/>
  <c r="AJ96" i="53"/>
  <c r="AJ97" i="53"/>
  <c r="AJ95" i="53"/>
  <c r="AJ94" i="53"/>
  <c r="BV94" i="54"/>
  <c r="BV97" i="54"/>
  <c r="BV95" i="54"/>
  <c r="BV96" i="54"/>
  <c r="BZ96" i="54"/>
  <c r="BZ97" i="54"/>
  <c r="BZ95" i="54"/>
  <c r="BZ94" i="54"/>
  <c r="BD94" i="54"/>
  <c r="BD96" i="54"/>
  <c r="BD95" i="54"/>
  <c r="BD97" i="54"/>
  <c r="N29" i="36"/>
  <c r="N30" i="37"/>
  <c r="CK29" i="37"/>
  <c r="BQ30" i="37"/>
  <c r="BQ32" i="37" s="1"/>
  <c r="O29" i="36"/>
  <c r="O30" i="36" s="1"/>
  <c r="O32" i="36" s="1"/>
  <c r="O30" i="37"/>
  <c r="O32" i="37" s="1"/>
  <c r="CL29" i="54"/>
  <c r="P30" i="54"/>
  <c r="BZ96" i="53"/>
  <c r="BZ95" i="53"/>
  <c r="BZ94" i="53"/>
  <c r="BZ97" i="53"/>
  <c r="BG29" i="36"/>
  <c r="BG30" i="36" s="1"/>
  <c r="BG32" i="36" s="1"/>
  <c r="BG30" i="37"/>
  <c r="BG32" i="37" s="1"/>
  <c r="BD29" i="36"/>
  <c r="BD30" i="36" s="1"/>
  <c r="BD32" i="36" s="1"/>
  <c r="BD30" i="37"/>
  <c r="BD32" i="37" s="1"/>
  <c r="AH96" i="54"/>
  <c r="AH97" i="54"/>
  <c r="AH95" i="54"/>
  <c r="AH94" i="54"/>
  <c r="AZ30" i="37"/>
  <c r="BH29" i="37"/>
  <c r="AZ29" i="36"/>
  <c r="BX94" i="53"/>
  <c r="BX97" i="53"/>
  <c r="BX96" i="53"/>
  <c r="BX95" i="53"/>
  <c r="AN29" i="37"/>
  <c r="AF29" i="36"/>
  <c r="AF30" i="37"/>
  <c r="AK30" i="37"/>
  <c r="AK32" i="37" s="1"/>
  <c r="AK29" i="36"/>
  <c r="AK30" i="36" s="1"/>
  <c r="AK32" i="36" s="1"/>
  <c r="S30" i="37"/>
  <c r="S32" i="37" s="1"/>
  <c r="S29" i="36"/>
  <c r="S30" i="36" s="1"/>
  <c r="S32" i="36" s="1"/>
  <c r="CB30" i="53"/>
  <c r="CB32" i="53" s="1"/>
  <c r="BT32" i="53"/>
  <c r="BO30" i="53"/>
  <c r="BO32" i="53" s="1"/>
  <c r="BQ30" i="54"/>
  <c r="BQ32" i="54" s="1"/>
  <c r="BR30" i="53"/>
  <c r="BR32" i="53" s="1"/>
  <c r="AX30" i="54"/>
  <c r="AX32" i="54" s="1"/>
  <c r="AB30" i="54"/>
  <c r="AB32" i="54" s="1"/>
  <c r="AV30" i="54"/>
  <c r="AV32" i="54" s="1"/>
  <c r="AD30" i="54"/>
  <c r="AD32" i="54" s="1"/>
  <c r="BL30" i="53"/>
  <c r="BL32" i="53" s="1"/>
  <c r="AT30" i="53"/>
  <c r="AT32" i="53" s="1"/>
  <c r="F30" i="53"/>
  <c r="F32" i="53" s="1"/>
  <c r="BP30" i="53"/>
  <c r="BP32" i="53" s="1"/>
  <c r="AS30" i="53"/>
  <c r="AS32" i="53" s="1"/>
  <c r="F30" i="54"/>
  <c r="F32" i="54" s="1"/>
  <c r="AC30" i="54"/>
  <c r="AC32" i="54" s="1"/>
  <c r="AW30" i="53"/>
  <c r="AW32" i="53" s="1"/>
  <c r="D30" i="54"/>
  <c r="D32" i="54" s="1"/>
  <c r="AB30" i="53"/>
  <c r="AB32" i="53" s="1"/>
  <c r="BM30" i="53"/>
  <c r="BM32" i="53" s="1"/>
  <c r="J30" i="54"/>
  <c r="J32" i="54" s="1"/>
  <c r="AC30" i="53"/>
  <c r="AC32" i="53" s="1"/>
  <c r="BN30" i="54"/>
  <c r="BN32" i="54" s="1"/>
  <c r="BO30" i="54"/>
  <c r="BO32" i="54" s="1"/>
  <c r="AX30" i="53"/>
  <c r="AX32" i="53" s="1"/>
  <c r="BQ30" i="53"/>
  <c r="BQ32" i="53" s="1"/>
  <c r="BL30" i="54"/>
  <c r="BL32" i="54" s="1"/>
  <c r="H30" i="53"/>
  <c r="H32" i="53" s="1"/>
  <c r="Z30" i="54"/>
  <c r="Z32" i="54" s="1"/>
  <c r="H30" i="54"/>
  <c r="H32" i="54" s="1"/>
  <c r="AU30" i="54"/>
  <c r="AU32" i="54" s="1"/>
  <c r="AT30" i="54"/>
  <c r="AT32" i="54" s="1"/>
  <c r="J30" i="53"/>
  <c r="J32" i="53" s="1"/>
  <c r="X30" i="54"/>
  <c r="X32" i="54" s="1"/>
  <c r="AS30" i="54"/>
  <c r="AS32" i="54" s="1"/>
  <c r="BM30" i="54"/>
  <c r="BM32" i="54" s="1"/>
  <c r="AU30" i="53"/>
  <c r="AU32" i="53" s="1"/>
  <c r="AW30" i="54"/>
  <c r="AW32" i="54" s="1"/>
  <c r="AD30" i="53"/>
  <c r="AD32" i="53" s="1"/>
  <c r="Y30" i="54"/>
  <c r="Y32" i="54" s="1"/>
  <c r="AA30" i="54"/>
  <c r="AA32" i="54" s="1"/>
  <c r="AR30" i="54"/>
  <c r="AR32" i="54" s="1"/>
  <c r="AV30" i="53"/>
  <c r="AV32" i="53" s="1"/>
  <c r="X30" i="53"/>
  <c r="X32" i="53" s="1"/>
  <c r="Y30" i="53"/>
  <c r="Y32" i="53" s="1"/>
  <c r="BR30" i="54"/>
  <c r="BR32" i="54" s="1"/>
  <c r="Z30" i="53"/>
  <c r="Z32" i="53" s="1"/>
  <c r="D30" i="53"/>
  <c r="D32" i="53" s="1"/>
  <c r="AA30" i="53"/>
  <c r="AA32" i="53" s="1"/>
  <c r="CN29" i="53" l="1"/>
  <c r="CN29" i="37"/>
  <c r="CF29" i="54"/>
  <c r="E30" i="54"/>
  <c r="CP29" i="54"/>
  <c r="AS30" i="37"/>
  <c r="AS32" i="37" s="1"/>
  <c r="AS29" i="36"/>
  <c r="AS30" i="36" s="1"/>
  <c r="AS32" i="36" s="1"/>
  <c r="H30" i="37"/>
  <c r="H32" i="37" s="1"/>
  <c r="H29" i="36"/>
  <c r="H30" i="36" s="1"/>
  <c r="H32" i="36" s="1"/>
  <c r="Z29" i="36"/>
  <c r="Z30" i="36" s="1"/>
  <c r="Z32" i="36" s="1"/>
  <c r="Z30" i="37"/>
  <c r="Z32" i="37" s="1"/>
  <c r="C30" i="54"/>
  <c r="CE29" i="54"/>
  <c r="CO29" i="54"/>
  <c r="K29" i="54"/>
  <c r="CP29" i="53"/>
  <c r="CF29" i="53"/>
  <c r="E30" i="53"/>
  <c r="AZ32" i="37"/>
  <c r="BH30" i="37"/>
  <c r="BH32" i="37" s="1"/>
  <c r="BQ29" i="36"/>
  <c r="BQ30" i="36" s="1"/>
  <c r="BQ32" i="36" s="1"/>
  <c r="CK30" i="54"/>
  <c r="CK32" i="54" s="1"/>
  <c r="N32" i="54"/>
  <c r="AJ95" i="36"/>
  <c r="AJ97" i="36"/>
  <c r="AJ96" i="36"/>
  <c r="CM30" i="54"/>
  <c r="CM32" i="54" s="1"/>
  <c r="R32" i="54"/>
  <c r="L32" i="37"/>
  <c r="CJ30" i="37"/>
  <c r="CJ32" i="37" s="1"/>
  <c r="T30" i="37"/>
  <c r="BV95" i="37"/>
  <c r="BV96" i="37"/>
  <c r="BV97" i="37"/>
  <c r="BV94" i="37"/>
  <c r="R30" i="36"/>
  <c r="CM29" i="36"/>
  <c r="CN29" i="54"/>
  <c r="R32" i="53"/>
  <c r="CM30" i="53"/>
  <c r="CM32" i="53" s="1"/>
  <c r="CB29" i="36"/>
  <c r="BT30" i="36"/>
  <c r="CP29" i="37"/>
  <c r="CF29" i="37"/>
  <c r="E30" i="37"/>
  <c r="E29" i="36"/>
  <c r="BP29" i="36"/>
  <c r="BP30" i="36" s="1"/>
  <c r="BP32" i="36" s="1"/>
  <c r="BP30" i="37"/>
  <c r="BP32" i="37" s="1"/>
  <c r="BO29" i="36"/>
  <c r="BO30" i="36" s="1"/>
  <c r="BO32" i="36" s="1"/>
  <c r="BO30" i="37"/>
  <c r="BO32" i="37" s="1"/>
  <c r="AN30" i="37"/>
  <c r="AN32" i="37" s="1"/>
  <c r="AF32" i="37"/>
  <c r="BT32" i="54"/>
  <c r="CB30" i="54"/>
  <c r="CB32" i="54" s="1"/>
  <c r="CM30" i="37"/>
  <c r="CM32" i="37" s="1"/>
  <c r="R32" i="37"/>
  <c r="L32" i="54"/>
  <c r="CJ30" i="54"/>
  <c r="CJ32" i="54" s="1"/>
  <c r="T30" i="54"/>
  <c r="CL29" i="36"/>
  <c r="P30" i="36"/>
  <c r="CB30" i="37"/>
  <c r="CB32" i="37" s="1"/>
  <c r="BT32" i="37"/>
  <c r="BH30" i="53"/>
  <c r="BH32" i="53" s="1"/>
  <c r="AZ32" i="53"/>
  <c r="AL96" i="37"/>
  <c r="AL97" i="37"/>
  <c r="AL94" i="37"/>
  <c r="AL95" i="37"/>
  <c r="AQ30" i="54"/>
  <c r="AY29" i="54"/>
  <c r="BI29" i="54" s="1"/>
  <c r="W29" i="36"/>
  <c r="W30" i="37"/>
  <c r="AE29" i="37"/>
  <c r="AO29" i="37" s="1"/>
  <c r="AV29" i="36"/>
  <c r="AV30" i="36" s="1"/>
  <c r="AV32" i="36" s="1"/>
  <c r="AV30" i="37"/>
  <c r="AV32" i="37" s="1"/>
  <c r="Y30" i="37"/>
  <c r="Y32" i="37" s="1"/>
  <c r="Y29" i="36"/>
  <c r="Y30" i="36" s="1"/>
  <c r="Y32" i="36" s="1"/>
  <c r="G30" i="37"/>
  <c r="CQ29" i="37"/>
  <c r="CG29" i="37"/>
  <c r="G29" i="36"/>
  <c r="BM29" i="36"/>
  <c r="BM30" i="36" s="1"/>
  <c r="BM32" i="36" s="1"/>
  <c r="BM30" i="37"/>
  <c r="BM32" i="37" s="1"/>
  <c r="AX30" i="37"/>
  <c r="AX32" i="37" s="1"/>
  <c r="AX29" i="36"/>
  <c r="AX30" i="36" s="1"/>
  <c r="AX32" i="36" s="1"/>
  <c r="X30" i="37"/>
  <c r="X32" i="37" s="1"/>
  <c r="X29" i="36"/>
  <c r="X30" i="36" s="1"/>
  <c r="X32" i="36" s="1"/>
  <c r="AW30" i="37"/>
  <c r="AW32" i="37" s="1"/>
  <c r="AW29" i="36"/>
  <c r="AW30" i="36" s="1"/>
  <c r="AW32" i="36" s="1"/>
  <c r="AF30" i="36"/>
  <c r="AN29" i="36"/>
  <c r="AZ30" i="36"/>
  <c r="BH29" i="36"/>
  <c r="BD95" i="37"/>
  <c r="BD97" i="37"/>
  <c r="BD96" i="37"/>
  <c r="BD94" i="37"/>
  <c r="CK30" i="37"/>
  <c r="CK32" i="37" s="1"/>
  <c r="N32" i="37"/>
  <c r="BF94" i="37"/>
  <c r="BF97" i="37"/>
  <c r="BF96" i="37"/>
  <c r="BF95" i="37"/>
  <c r="AN30" i="53"/>
  <c r="AN32" i="53" s="1"/>
  <c r="AF32" i="53"/>
  <c r="BX96" i="37"/>
  <c r="BX95" i="37"/>
  <c r="BX97" i="37"/>
  <c r="BX94" i="37"/>
  <c r="BB94" i="37"/>
  <c r="BB95" i="37"/>
  <c r="BB96" i="37"/>
  <c r="BB97" i="37"/>
  <c r="T30" i="53"/>
  <c r="CJ30" i="53"/>
  <c r="CJ32" i="53" s="1"/>
  <c r="L32" i="53"/>
  <c r="CL30" i="37"/>
  <c r="CL32" i="37" s="1"/>
  <c r="P32" i="37"/>
  <c r="CN32" i="37" s="1"/>
  <c r="BZ97" i="37"/>
  <c r="BZ94" i="37"/>
  <c r="BZ96" i="37"/>
  <c r="BZ95" i="37"/>
  <c r="AL97" i="36"/>
  <c r="AL96" i="36"/>
  <c r="AL95" i="36"/>
  <c r="CL30" i="53"/>
  <c r="CL32" i="53" s="1"/>
  <c r="P32" i="53"/>
  <c r="AR30" i="37"/>
  <c r="AR32" i="37" s="1"/>
  <c r="AR29" i="36"/>
  <c r="AR30" i="36" s="1"/>
  <c r="AR32" i="36" s="1"/>
  <c r="AD30" i="37"/>
  <c r="AD32" i="37" s="1"/>
  <c r="AD29" i="36"/>
  <c r="AD30" i="36" s="1"/>
  <c r="AD32" i="36" s="1"/>
  <c r="C30" i="53"/>
  <c r="CE29" i="53"/>
  <c r="CO29" i="53"/>
  <c r="K29" i="53"/>
  <c r="BS29" i="53"/>
  <c r="CC29" i="53" s="1"/>
  <c r="BK30" i="53"/>
  <c r="AT30" i="37"/>
  <c r="AT32" i="37" s="1"/>
  <c r="AT29" i="36"/>
  <c r="AT30" i="36" s="1"/>
  <c r="AT32" i="36" s="1"/>
  <c r="AA30" i="37"/>
  <c r="AA32" i="37" s="1"/>
  <c r="AA29" i="36"/>
  <c r="AA30" i="36" s="1"/>
  <c r="AA32" i="36" s="1"/>
  <c r="D29" i="36"/>
  <c r="D30" i="36" s="1"/>
  <c r="D32" i="36" s="1"/>
  <c r="D30" i="37"/>
  <c r="D32" i="37" s="1"/>
  <c r="J30" i="37"/>
  <c r="J32" i="37" s="1"/>
  <c r="J29" i="36"/>
  <c r="J30" i="36" s="1"/>
  <c r="J32" i="36" s="1"/>
  <c r="AH95" i="37"/>
  <c r="AH96" i="37"/>
  <c r="AH94" i="37"/>
  <c r="AH97" i="37"/>
  <c r="AF32" i="54"/>
  <c r="AN30" i="54"/>
  <c r="AN32" i="54" s="1"/>
  <c r="W30" i="54"/>
  <c r="AE29" i="54"/>
  <c r="AO29" i="54" s="1"/>
  <c r="BR29" i="36"/>
  <c r="BR30" i="36" s="1"/>
  <c r="BR32" i="36" s="1"/>
  <c r="BR30" i="37"/>
  <c r="BR32" i="37" s="1"/>
  <c r="BL29" i="36"/>
  <c r="BL30" i="36" s="1"/>
  <c r="BL32" i="36" s="1"/>
  <c r="BL30" i="37"/>
  <c r="BL32" i="37" s="1"/>
  <c r="BK29" i="36"/>
  <c r="BS29" i="37"/>
  <c r="CC29" i="37" s="1"/>
  <c r="BK30" i="37"/>
  <c r="BN29" i="36"/>
  <c r="BN30" i="36" s="1"/>
  <c r="BN32" i="36" s="1"/>
  <c r="BN30" i="37"/>
  <c r="BN32" i="37" s="1"/>
  <c r="CG29" i="53"/>
  <c r="CQ29" i="53"/>
  <c r="G30" i="53"/>
  <c r="AY29" i="37"/>
  <c r="BI29" i="37" s="1"/>
  <c r="AQ30" i="37"/>
  <c r="AQ29" i="36"/>
  <c r="W30" i="53"/>
  <c r="AE29" i="53"/>
  <c r="AO29" i="53" s="1"/>
  <c r="AU29" i="36"/>
  <c r="AU30" i="36" s="1"/>
  <c r="AU32" i="36" s="1"/>
  <c r="AU30" i="37"/>
  <c r="AU32" i="37" s="1"/>
  <c r="F30" i="37"/>
  <c r="F32" i="37" s="1"/>
  <c r="F29" i="36"/>
  <c r="F30" i="36" s="1"/>
  <c r="F32" i="36" s="1"/>
  <c r="C29" i="36"/>
  <c r="CE29" i="37"/>
  <c r="C30" i="37"/>
  <c r="CO29" i="37"/>
  <c r="K29" i="37"/>
  <c r="AB30" i="37"/>
  <c r="AB32" i="37" s="1"/>
  <c r="AB29" i="36"/>
  <c r="AB30" i="36" s="1"/>
  <c r="AB32" i="36" s="1"/>
  <c r="CR29" i="37"/>
  <c r="I29" i="36"/>
  <c r="CH29" i="37"/>
  <c r="I30" i="37"/>
  <c r="AC29" i="36"/>
  <c r="AC30" i="36" s="1"/>
  <c r="AC32" i="36" s="1"/>
  <c r="AC30" i="37"/>
  <c r="AC32" i="37" s="1"/>
  <c r="CQ29" i="54"/>
  <c r="G30" i="54"/>
  <c r="CG29" i="54"/>
  <c r="CH29" i="53"/>
  <c r="CR29" i="53"/>
  <c r="I30" i="53"/>
  <c r="AQ30" i="53"/>
  <c r="AY29" i="53"/>
  <c r="BI29" i="53" s="1"/>
  <c r="CR29" i="54"/>
  <c r="CH29" i="54"/>
  <c r="I30" i="54"/>
  <c r="BS29" i="54"/>
  <c r="CC29" i="54" s="1"/>
  <c r="BK30" i="54"/>
  <c r="BT97" i="53"/>
  <c r="BT95" i="53"/>
  <c r="BT96" i="53"/>
  <c r="BT94" i="53"/>
  <c r="BD97" i="36"/>
  <c r="BD96" i="36"/>
  <c r="BD95" i="36"/>
  <c r="CL30" i="54"/>
  <c r="CL32" i="54" s="1"/>
  <c r="P32" i="54"/>
  <c r="CK29" i="36"/>
  <c r="N30" i="36"/>
  <c r="BF96" i="36"/>
  <c r="BF97" i="36"/>
  <c r="BF95" i="36"/>
  <c r="AJ94" i="37"/>
  <c r="AJ96" i="37"/>
  <c r="AJ95" i="37"/>
  <c r="AJ97" i="37"/>
  <c r="T29" i="36"/>
  <c r="CJ29" i="36"/>
  <c r="L30" i="36"/>
  <c r="BV96" i="36"/>
  <c r="BV95" i="36"/>
  <c r="BV97" i="36"/>
  <c r="BX95" i="36"/>
  <c r="BX96" i="36"/>
  <c r="BX97" i="36"/>
  <c r="BB97" i="36"/>
  <c r="BB96" i="36"/>
  <c r="BB95" i="36"/>
  <c r="BH30" i="54"/>
  <c r="BH32" i="54" s="1"/>
  <c r="AZ32" i="54"/>
  <c r="BZ97" i="36"/>
  <c r="BZ95" i="36"/>
  <c r="BZ96" i="36"/>
  <c r="AH95" i="36"/>
  <c r="AH97" i="36"/>
  <c r="AH96" i="36"/>
  <c r="CK30" i="53"/>
  <c r="CK32" i="53" s="1"/>
  <c r="N32" i="53"/>
  <c r="N94" i="53" l="1"/>
  <c r="N97" i="53"/>
  <c r="N96" i="53"/>
  <c r="N95" i="53"/>
  <c r="I32" i="54"/>
  <c r="CH30" i="54"/>
  <c r="CH32" i="54" s="1"/>
  <c r="CR30" i="54"/>
  <c r="CR32" i="54" s="1"/>
  <c r="BS29" i="36"/>
  <c r="CC29" i="36" s="1"/>
  <c r="BK30" i="36"/>
  <c r="AE29" i="36"/>
  <c r="AO29" i="36" s="1"/>
  <c r="W30" i="36"/>
  <c r="BT96" i="54"/>
  <c r="BT95" i="54"/>
  <c r="BT94" i="54"/>
  <c r="BT97" i="54"/>
  <c r="T30" i="36"/>
  <c r="CJ30" i="36"/>
  <c r="CJ32" i="36" s="1"/>
  <c r="L32" i="36"/>
  <c r="CH30" i="53"/>
  <c r="CH32" i="53" s="1"/>
  <c r="CR30" i="53"/>
  <c r="CR32" i="53" s="1"/>
  <c r="I32" i="53"/>
  <c r="CQ30" i="54"/>
  <c r="CQ32" i="54" s="1"/>
  <c r="CG30" i="54"/>
  <c r="CG32" i="54" s="1"/>
  <c r="G32" i="54"/>
  <c r="CR30" i="37"/>
  <c r="CR32" i="37" s="1"/>
  <c r="CH30" i="37"/>
  <c r="CH32" i="37" s="1"/>
  <c r="I32" i="37"/>
  <c r="CN96" i="37"/>
  <c r="CN95" i="37"/>
  <c r="CN94" i="37"/>
  <c r="CN97" i="37"/>
  <c r="AY30" i="53"/>
  <c r="AQ32" i="53"/>
  <c r="CI29" i="53"/>
  <c r="U29" i="53"/>
  <c r="CS29" i="53" s="1"/>
  <c r="P97" i="53"/>
  <c r="P95" i="53"/>
  <c r="P96" i="53"/>
  <c r="P94" i="53"/>
  <c r="CN32" i="53"/>
  <c r="AZ94" i="53"/>
  <c r="AZ95" i="53"/>
  <c r="AZ96" i="53"/>
  <c r="AZ97" i="53"/>
  <c r="L94" i="54"/>
  <c r="L95" i="54"/>
  <c r="L97" i="54"/>
  <c r="L96" i="54"/>
  <c r="CP30" i="37"/>
  <c r="CP32" i="37" s="1"/>
  <c r="E32" i="37"/>
  <c r="CF30" i="37"/>
  <c r="CF32" i="37" s="1"/>
  <c r="AZ95" i="37"/>
  <c r="AZ97" i="37"/>
  <c r="AZ96" i="37"/>
  <c r="AZ94" i="37"/>
  <c r="CF30" i="53"/>
  <c r="CF32" i="53" s="1"/>
  <c r="CP30" i="53"/>
  <c r="CP32" i="53" s="1"/>
  <c r="E32" i="53"/>
  <c r="R32" i="36"/>
  <c r="CM30" i="36"/>
  <c r="CM32" i="36" s="1"/>
  <c r="BS30" i="37"/>
  <c r="BK32" i="37"/>
  <c r="W32" i="54"/>
  <c r="AE30" i="54"/>
  <c r="BK32" i="53"/>
  <c r="BS30" i="53"/>
  <c r="CQ29" i="36"/>
  <c r="CG29" i="36"/>
  <c r="G30" i="36"/>
  <c r="AQ32" i="54"/>
  <c r="AY30" i="54"/>
  <c r="BT97" i="37"/>
  <c r="BT96" i="37"/>
  <c r="BT95" i="37"/>
  <c r="BT94" i="37"/>
  <c r="CN30" i="54"/>
  <c r="T32" i="54"/>
  <c r="R94" i="53"/>
  <c r="R95" i="53"/>
  <c r="R96" i="53"/>
  <c r="R97" i="53"/>
  <c r="R95" i="54"/>
  <c r="R94" i="54"/>
  <c r="R96" i="54"/>
  <c r="R97" i="54"/>
  <c r="K30" i="54"/>
  <c r="CE30" i="54"/>
  <c r="CE32" i="54" s="1"/>
  <c r="C32" i="54"/>
  <c r="CO30" i="54"/>
  <c r="CO32" i="54" s="1"/>
  <c r="CP30" i="54"/>
  <c r="CP32" i="54" s="1"/>
  <c r="E32" i="54"/>
  <c r="CF30" i="54"/>
  <c r="CF32" i="54" s="1"/>
  <c r="AF96" i="54"/>
  <c r="AF95" i="54"/>
  <c r="AF97" i="54"/>
  <c r="AF94" i="54"/>
  <c r="CL30" i="36"/>
  <c r="CL32" i="36" s="1"/>
  <c r="P32" i="36"/>
  <c r="N95" i="54"/>
  <c r="N94" i="54"/>
  <c r="N96" i="54"/>
  <c r="N97" i="54"/>
  <c r="N32" i="36"/>
  <c r="CK30" i="36"/>
  <c r="CK32" i="36" s="1"/>
  <c r="CO30" i="37"/>
  <c r="CO32" i="37" s="1"/>
  <c r="C32" i="37"/>
  <c r="CE30" i="37"/>
  <c r="CE32" i="37" s="1"/>
  <c r="K30" i="37"/>
  <c r="W32" i="53"/>
  <c r="AE30" i="53"/>
  <c r="CQ30" i="53"/>
  <c r="CQ32" i="53" s="1"/>
  <c r="G32" i="53"/>
  <c r="CG30" i="53"/>
  <c r="CG32" i="53" s="1"/>
  <c r="L96" i="53"/>
  <c r="L95" i="53"/>
  <c r="L97" i="53"/>
  <c r="L94" i="53"/>
  <c r="AF32" i="36"/>
  <c r="AN30" i="36"/>
  <c r="AN32" i="36" s="1"/>
  <c r="CG30" i="37"/>
  <c r="CG32" i="37" s="1"/>
  <c r="CQ30" i="37"/>
  <c r="CQ32" i="37" s="1"/>
  <c r="G32" i="37"/>
  <c r="R95" i="37"/>
  <c r="R96" i="37"/>
  <c r="R94" i="37"/>
  <c r="R97" i="37"/>
  <c r="AF94" i="37"/>
  <c r="AF96" i="37"/>
  <c r="AF97" i="37"/>
  <c r="AF95" i="37"/>
  <c r="L97" i="37"/>
  <c r="L94" i="37"/>
  <c r="L95" i="37"/>
  <c r="L96" i="37"/>
  <c r="AZ94" i="54"/>
  <c r="AZ97" i="54"/>
  <c r="AZ96" i="54"/>
  <c r="AZ95" i="54"/>
  <c r="BS30" i="54"/>
  <c r="BK32" i="54"/>
  <c r="AY29" i="36"/>
  <c r="BI29" i="36" s="1"/>
  <c r="AQ30" i="36"/>
  <c r="CN29" i="36"/>
  <c r="P95" i="54"/>
  <c r="P94" i="54"/>
  <c r="P96" i="54"/>
  <c r="P97" i="54"/>
  <c r="CN32" i="54"/>
  <c r="CH29" i="36"/>
  <c r="CR29" i="36"/>
  <c r="I30" i="36"/>
  <c r="U29" i="37"/>
  <c r="CS29" i="37" s="1"/>
  <c r="CI29" i="37"/>
  <c r="CE29" i="36"/>
  <c r="C30" i="36"/>
  <c r="CO29" i="36"/>
  <c r="K29" i="36"/>
  <c r="AQ32" i="37"/>
  <c r="AY30" i="37"/>
  <c r="CE30" i="53"/>
  <c r="CE32" i="53" s="1"/>
  <c r="CO30" i="53"/>
  <c r="CO32" i="53" s="1"/>
  <c r="K30" i="53"/>
  <c r="C32" i="53"/>
  <c r="P96" i="37"/>
  <c r="P94" i="37"/>
  <c r="P95" i="37"/>
  <c r="P97" i="37"/>
  <c r="CN30" i="53"/>
  <c r="T32" i="53"/>
  <c r="AF94" i="53"/>
  <c r="AF97" i="53"/>
  <c r="AF95" i="53"/>
  <c r="AF96" i="53"/>
  <c r="N95" i="37"/>
  <c r="N97" i="37"/>
  <c r="N94" i="37"/>
  <c r="N96" i="37"/>
  <c r="BH30" i="36"/>
  <c r="BH32" i="36" s="1"/>
  <c r="AZ32" i="36"/>
  <c r="AE30" i="37"/>
  <c r="W32" i="37"/>
  <c r="E30" i="36"/>
  <c r="CF29" i="36"/>
  <c r="CP29" i="36"/>
  <c r="CB30" i="36"/>
  <c r="CB32" i="36" s="1"/>
  <c r="BT32" i="36"/>
  <c r="CN30" i="37"/>
  <c r="T32" i="37"/>
  <c r="U29" i="54"/>
  <c r="CS29" i="54" s="1"/>
  <c r="CI29" i="54"/>
  <c r="BT95" i="36" l="1"/>
  <c r="BT97" i="36"/>
  <c r="BT96" i="36"/>
  <c r="BT94" i="36"/>
  <c r="AO30" i="37"/>
  <c r="AO32" i="37" s="1"/>
  <c r="AE32" i="37"/>
  <c r="AE32" i="53"/>
  <c r="AO30" i="53"/>
  <c r="AO32" i="53" s="1"/>
  <c r="CC30" i="53"/>
  <c r="BS32" i="53"/>
  <c r="AZ96" i="36"/>
  <c r="AZ95" i="36"/>
  <c r="AZ94" i="36"/>
  <c r="AZ97" i="36"/>
  <c r="CI30" i="53"/>
  <c r="U30" i="53"/>
  <c r="U32" i="53" s="1"/>
  <c r="K32" i="53"/>
  <c r="CI29" i="36"/>
  <c r="U29" i="36"/>
  <c r="CS29" i="36" s="1"/>
  <c r="P97" i="36"/>
  <c r="P96" i="36"/>
  <c r="P95" i="36"/>
  <c r="CN32" i="36"/>
  <c r="CQ30" i="36"/>
  <c r="CQ32" i="36" s="1"/>
  <c r="CG30" i="36"/>
  <c r="CG32" i="36" s="1"/>
  <c r="G32" i="36"/>
  <c r="CC30" i="37"/>
  <c r="BS32" i="37"/>
  <c r="CN94" i="53"/>
  <c r="CN97" i="53"/>
  <c r="CN95" i="53"/>
  <c r="CN96" i="53"/>
  <c r="L94" i="36"/>
  <c r="L96" i="36"/>
  <c r="L97" i="36"/>
  <c r="L95" i="36"/>
  <c r="AE30" i="36"/>
  <c r="W32" i="36"/>
  <c r="CP30" i="36"/>
  <c r="CP32" i="36" s="1"/>
  <c r="CF30" i="36"/>
  <c r="CF32" i="36" s="1"/>
  <c r="E32" i="36"/>
  <c r="AY30" i="36"/>
  <c r="AQ32" i="36"/>
  <c r="CN97" i="54"/>
  <c r="CN96" i="54"/>
  <c r="CN94" i="54"/>
  <c r="CN95" i="54"/>
  <c r="K32" i="37"/>
  <c r="U30" i="37"/>
  <c r="U32" i="37" s="1"/>
  <c r="CI30" i="37"/>
  <c r="CI30" i="54"/>
  <c r="K32" i="54"/>
  <c r="U30" i="54"/>
  <c r="U32" i="54" s="1"/>
  <c r="AE32" i="54"/>
  <c r="AO30" i="54"/>
  <c r="AO32" i="54" s="1"/>
  <c r="AY32" i="53"/>
  <c r="BI30" i="53"/>
  <c r="BI32" i="53" s="1"/>
  <c r="BS30" i="36"/>
  <c r="BK32" i="36"/>
  <c r="AY32" i="37"/>
  <c r="BI30" i="37"/>
  <c r="BI32" i="37" s="1"/>
  <c r="C32" i="36"/>
  <c r="CE30" i="36"/>
  <c r="CE32" i="36" s="1"/>
  <c r="CO30" i="36"/>
  <c r="CO32" i="36" s="1"/>
  <c r="K30" i="36"/>
  <c r="I32" i="36"/>
  <c r="CH30" i="36"/>
  <c r="CH32" i="36" s="1"/>
  <c r="CR30" i="36"/>
  <c r="CR32" i="36" s="1"/>
  <c r="CC30" i="54"/>
  <c r="BS32" i="54"/>
  <c r="AF95" i="36"/>
  <c r="AF97" i="36"/>
  <c r="AF96" i="36"/>
  <c r="AF94" i="36"/>
  <c r="N95" i="36"/>
  <c r="N96" i="36"/>
  <c r="N97" i="36"/>
  <c r="AY32" i="54"/>
  <c r="BI30" i="54"/>
  <c r="BI32" i="54" s="1"/>
  <c r="R97" i="36"/>
  <c r="R95" i="36"/>
  <c r="R96" i="36"/>
  <c r="CN30" i="36"/>
  <c r="T32" i="36"/>
  <c r="CI32" i="54" l="1"/>
  <c r="AO30" i="36"/>
  <c r="AO32" i="36" s="1"/>
  <c r="AE32" i="36"/>
  <c r="CI32" i="37"/>
  <c r="CS30" i="54"/>
  <c r="CC32" i="54"/>
  <c r="K32" i="36"/>
  <c r="U30" i="36"/>
  <c r="U32" i="36" s="1"/>
  <c r="CI30" i="36"/>
  <c r="CC30" i="36"/>
  <c r="BS32" i="36"/>
  <c r="CS30" i="37"/>
  <c r="CC32" i="37"/>
  <c r="D22" i="6"/>
  <c r="D36" i="6"/>
  <c r="CI32" i="53"/>
  <c r="E36" i="6"/>
  <c r="E22" i="6"/>
  <c r="B22" i="6"/>
  <c r="B36" i="6"/>
  <c r="AY32" i="36"/>
  <c r="BI30" i="36"/>
  <c r="BI32" i="36" s="1"/>
  <c r="C22" i="6"/>
  <c r="C36" i="6"/>
  <c r="CN97" i="36"/>
  <c r="CN94" i="36"/>
  <c r="CN96" i="36"/>
  <c r="CN95" i="36"/>
  <c r="CS30" i="53"/>
  <c r="CC32" i="53"/>
  <c r="CI32" i="36" l="1"/>
  <c r="CS32" i="53"/>
  <c r="CS32" i="37"/>
  <c r="CS30" i="36"/>
  <c r="CC32" i="36"/>
  <c r="CS32" i="54"/>
  <c r="CS32" i="36" l="1"/>
  <c r="AR71" i="36" l="1"/>
  <c r="D71" i="36"/>
  <c r="M81" i="36"/>
  <c r="M88" i="54"/>
  <c r="M71" i="36"/>
  <c r="BF73" i="54"/>
  <c r="BZ73" i="53"/>
  <c r="AL86" i="36"/>
  <c r="AD71" i="36"/>
  <c r="S71" i="36"/>
  <c r="AD86" i="36"/>
  <c r="BQ71" i="36"/>
  <c r="AJ73" i="53"/>
  <c r="BX73" i="54"/>
  <c r="AJ71" i="36"/>
  <c r="BD71" i="36"/>
  <c r="Q73" i="54"/>
  <c r="AV71" i="36"/>
  <c r="BO71" i="36"/>
  <c r="BE73" i="54"/>
  <c r="AU71" i="36"/>
  <c r="H71" i="36"/>
  <c r="BE71" i="36"/>
  <c r="AK73" i="53"/>
  <c r="BP88" i="53"/>
  <c r="BV73" i="53"/>
  <c r="AH71" i="36"/>
  <c r="AI71" i="36"/>
  <c r="BC81" i="36"/>
  <c r="BM73" i="54"/>
  <c r="F73" i="54"/>
  <c r="AT71" i="36"/>
  <c r="BN73" i="54"/>
  <c r="Y88" i="53"/>
  <c r="Y81" i="36"/>
  <c r="Z73" i="54" l="1"/>
  <c r="AH73" i="54"/>
  <c r="AB71" i="36"/>
  <c r="Q71" i="36"/>
  <c r="AL73" i="53"/>
  <c r="AL73" i="54"/>
  <c r="Q73" i="53"/>
  <c r="Q95" i="53" s="1"/>
  <c r="AL71" i="36"/>
  <c r="O88" i="53"/>
  <c r="O97" i="53" s="1"/>
  <c r="BB81" i="36"/>
  <c r="AH88" i="54"/>
  <c r="AH90" i="54" s="1"/>
  <c r="AH92" i="54" s="1"/>
  <c r="AK81" i="36"/>
  <c r="BY81" i="36"/>
  <c r="AB88" i="53"/>
  <c r="AB97" i="53" s="1"/>
  <c r="AU88" i="54"/>
  <c r="AU81" i="36"/>
  <c r="AM81" i="36"/>
  <c r="J88" i="53"/>
  <c r="J97" i="53" s="1"/>
  <c r="BG81" i="36"/>
  <c r="S88" i="53"/>
  <c r="S97" i="53" s="1"/>
  <c r="BZ81" i="36"/>
  <c r="X81" i="36"/>
  <c r="BL81" i="36"/>
  <c r="AE81" i="54"/>
  <c r="BH81" i="53"/>
  <c r="Z81" i="36"/>
  <c r="AH81" i="36"/>
  <c r="S88" i="54"/>
  <c r="S97" i="54" s="1"/>
  <c r="S81" i="36"/>
  <c r="AW81" i="36"/>
  <c r="BC86" i="36"/>
  <c r="AS86" i="36"/>
  <c r="F88" i="54"/>
  <c r="F97" i="54" s="1"/>
  <c r="BB88" i="54"/>
  <c r="BY86" i="36"/>
  <c r="AK88" i="53"/>
  <c r="AK97" i="53" s="1"/>
  <c r="AU86" i="36"/>
  <c r="BO86" i="36"/>
  <c r="AB88" i="54"/>
  <c r="AB97" i="54" s="1"/>
  <c r="H86" i="36"/>
  <c r="AJ88" i="54"/>
  <c r="BX86" i="36"/>
  <c r="BD88" i="54"/>
  <c r="BG86" i="36"/>
  <c r="BQ86" i="36"/>
  <c r="AW88" i="54"/>
  <c r="AW97" i="54" s="1"/>
  <c r="BF88" i="53"/>
  <c r="BL88" i="54"/>
  <c r="BL97" i="54" s="1"/>
  <c r="X86" i="36"/>
  <c r="BS86" i="53"/>
  <c r="BW88" i="54"/>
  <c r="BW97" i="54" s="1"/>
  <c r="BC88" i="53"/>
  <c r="BC97" i="53" s="1"/>
  <c r="AK88" i="54"/>
  <c r="AK97" i="54" s="1"/>
  <c r="X88" i="54"/>
  <c r="X97" i="54" s="1"/>
  <c r="F86" i="36"/>
  <c r="BG88" i="54"/>
  <c r="BY88" i="53"/>
  <c r="AK86" i="36"/>
  <c r="AA88" i="53"/>
  <c r="AW86" i="36"/>
  <c r="AR88" i="54"/>
  <c r="AR97" i="54" s="1"/>
  <c r="D88" i="54"/>
  <c r="D97" i="54" s="1"/>
  <c r="D86" i="36"/>
  <c r="CF81" i="54"/>
  <c r="CP81" i="54"/>
  <c r="BN96" i="54"/>
  <c r="BN95" i="54"/>
  <c r="BW79" i="36"/>
  <c r="BW88" i="37"/>
  <c r="AT73" i="37"/>
  <c r="AT69" i="36"/>
  <c r="AT73" i="36" s="1"/>
  <c r="BM88" i="37"/>
  <c r="BM79" i="36"/>
  <c r="Y73" i="37"/>
  <c r="Y69" i="36"/>
  <c r="AH79" i="36"/>
  <c r="AH88" i="37"/>
  <c r="CK71" i="54"/>
  <c r="CK79" i="37"/>
  <c r="N79" i="36"/>
  <c r="N88" i="37"/>
  <c r="BO79" i="36"/>
  <c r="BO88" i="37"/>
  <c r="CG86" i="53"/>
  <c r="CQ86" i="53"/>
  <c r="BE88" i="37"/>
  <c r="BE79" i="36"/>
  <c r="CQ81" i="37"/>
  <c r="CG81" i="37"/>
  <c r="G81" i="36"/>
  <c r="AJ69" i="36"/>
  <c r="AJ73" i="36" s="1"/>
  <c r="AJ73" i="37"/>
  <c r="AC79" i="36"/>
  <c r="AC88" i="37"/>
  <c r="CH86" i="53"/>
  <c r="CR86" i="53"/>
  <c r="AX79" i="36"/>
  <c r="AX88" i="37"/>
  <c r="CR81" i="54"/>
  <c r="CH81" i="54"/>
  <c r="R69" i="36"/>
  <c r="R73" i="37"/>
  <c r="AE86" i="53"/>
  <c r="BL88" i="37"/>
  <c r="BL79" i="36"/>
  <c r="BS86" i="54"/>
  <c r="CB81" i="53"/>
  <c r="BH86" i="54"/>
  <c r="AF88" i="53"/>
  <c r="AN79" i="53"/>
  <c r="T79" i="54"/>
  <c r="CJ79" i="54"/>
  <c r="L88" i="54"/>
  <c r="CJ81" i="53"/>
  <c r="T81" i="53"/>
  <c r="CB81" i="37"/>
  <c r="BT81" i="36"/>
  <c r="L86" i="36"/>
  <c r="T86" i="37"/>
  <c r="CJ86" i="37"/>
  <c r="AS71" i="36"/>
  <c r="AT73" i="54"/>
  <c r="BN73" i="53"/>
  <c r="F88" i="37"/>
  <c r="F79" i="36"/>
  <c r="CF71" i="54"/>
  <c r="CP71" i="54"/>
  <c r="Y73" i="53"/>
  <c r="Y90" i="53" s="1"/>
  <c r="Y92" i="53" s="1"/>
  <c r="Y94" i="53" s="1"/>
  <c r="BM71" i="36"/>
  <c r="Y79" i="36"/>
  <c r="Y88" i="37"/>
  <c r="AI88" i="54"/>
  <c r="BW86" i="36"/>
  <c r="AI79" i="36"/>
  <c r="AI88" i="37"/>
  <c r="N73" i="53"/>
  <c r="N86" i="36"/>
  <c r="CK86" i="37"/>
  <c r="BV73" i="54"/>
  <c r="N71" i="36"/>
  <c r="CK71" i="37"/>
  <c r="BB73" i="54"/>
  <c r="CK86" i="53"/>
  <c r="BV88" i="53"/>
  <c r="BV90" i="53" s="1"/>
  <c r="BV92" i="53" s="1"/>
  <c r="CK86" i="54"/>
  <c r="BB88" i="53"/>
  <c r="BP97" i="53"/>
  <c r="Q73" i="37"/>
  <c r="Q69" i="36"/>
  <c r="AU79" i="36"/>
  <c r="AU88" i="37"/>
  <c r="G88" i="54"/>
  <c r="G97" i="54" s="1"/>
  <c r="CQ79" i="54"/>
  <c r="CG79" i="54"/>
  <c r="AK69" i="36"/>
  <c r="AK73" i="37"/>
  <c r="G79" i="36"/>
  <c r="CQ79" i="37"/>
  <c r="CG79" i="37"/>
  <c r="G88" i="37"/>
  <c r="G97" i="37" s="1"/>
  <c r="AV81" i="36"/>
  <c r="AA88" i="54"/>
  <c r="AA81" i="36"/>
  <c r="Q88" i="54"/>
  <c r="BE69" i="36"/>
  <c r="BE73" i="36" s="1"/>
  <c r="BE73" i="37"/>
  <c r="CG86" i="54"/>
  <c r="CQ86" i="54"/>
  <c r="CQ86" i="37"/>
  <c r="CG86" i="37"/>
  <c r="G86" i="36"/>
  <c r="H88" i="53"/>
  <c r="AB86" i="36"/>
  <c r="AU88" i="53"/>
  <c r="BY73" i="54"/>
  <c r="BE86" i="36"/>
  <c r="BP88" i="54"/>
  <c r="AV88" i="37"/>
  <c r="AV79" i="36"/>
  <c r="H79" i="36"/>
  <c r="H88" i="37"/>
  <c r="AJ79" i="36"/>
  <c r="AJ88" i="37"/>
  <c r="CL81" i="54"/>
  <c r="AJ73" i="54"/>
  <c r="BX73" i="53"/>
  <c r="BX69" i="36"/>
  <c r="BX73" i="37"/>
  <c r="BD73" i="37"/>
  <c r="BD69" i="36"/>
  <c r="BD73" i="36" s="1"/>
  <c r="BX81" i="36"/>
  <c r="AJ88" i="53"/>
  <c r="AJ90" i="53" s="1"/>
  <c r="AJ92" i="53" s="1"/>
  <c r="AJ81" i="36"/>
  <c r="P71" i="36"/>
  <c r="CL71" i="37"/>
  <c r="BQ88" i="54"/>
  <c r="AM88" i="53"/>
  <c r="BR79" i="36"/>
  <c r="BR88" i="37"/>
  <c r="AM88" i="54"/>
  <c r="BR81" i="36"/>
  <c r="S86" i="36"/>
  <c r="CR79" i="54"/>
  <c r="I88" i="54"/>
  <c r="I97" i="54" s="1"/>
  <c r="CH79" i="54"/>
  <c r="I88" i="53"/>
  <c r="I97" i="53" s="1"/>
  <c r="CH79" i="53"/>
  <c r="CR79" i="53"/>
  <c r="AX88" i="54"/>
  <c r="AM71" i="36"/>
  <c r="AX86" i="36"/>
  <c r="AW71" i="36"/>
  <c r="AM86" i="36"/>
  <c r="BQ81" i="36"/>
  <c r="CA71" i="36"/>
  <c r="J71" i="36"/>
  <c r="AC81" i="36"/>
  <c r="BZ73" i="37"/>
  <c r="BZ69" i="36"/>
  <c r="R88" i="53"/>
  <c r="CM79" i="53"/>
  <c r="BZ86" i="36"/>
  <c r="CM86" i="53"/>
  <c r="CM79" i="37"/>
  <c r="R88" i="37"/>
  <c r="R79" i="36"/>
  <c r="BZ71" i="36"/>
  <c r="CM81" i="54"/>
  <c r="BZ73" i="54"/>
  <c r="AY86" i="37"/>
  <c r="AQ86" i="36"/>
  <c r="AE71" i="54"/>
  <c r="BS79" i="54"/>
  <c r="BK88" i="54"/>
  <c r="BK97" i="54" s="1"/>
  <c r="AR88" i="53"/>
  <c r="AY86" i="54"/>
  <c r="CE71" i="54"/>
  <c r="CO71" i="54"/>
  <c r="K71" i="54"/>
  <c r="BA71" i="36"/>
  <c r="CO86" i="37"/>
  <c r="CE86" i="37"/>
  <c r="K86" i="37"/>
  <c r="C86" i="36"/>
  <c r="BS71" i="53"/>
  <c r="AY79" i="54"/>
  <c r="AQ88" i="54"/>
  <c r="AQ97" i="54" s="1"/>
  <c r="D88" i="53"/>
  <c r="AE86" i="54"/>
  <c r="AY79" i="53"/>
  <c r="AQ88" i="53"/>
  <c r="AQ97" i="53" s="1"/>
  <c r="BK81" i="36"/>
  <c r="BS81" i="37"/>
  <c r="BU88" i="53"/>
  <c r="CE79" i="53"/>
  <c r="C88" i="53"/>
  <c r="C97" i="53" s="1"/>
  <c r="CO79" i="53"/>
  <c r="K79" i="53"/>
  <c r="AY81" i="54"/>
  <c r="AQ71" i="36"/>
  <c r="AY71" i="37"/>
  <c r="AR86" i="36"/>
  <c r="BU79" i="36"/>
  <c r="BU88" i="37"/>
  <c r="BK86" i="36"/>
  <c r="BS86" i="37"/>
  <c r="CE81" i="53"/>
  <c r="K81" i="53"/>
  <c r="CO81" i="53"/>
  <c r="AQ88" i="37"/>
  <c r="AQ79" i="36"/>
  <c r="AY79" i="37"/>
  <c r="CE86" i="53"/>
  <c r="CO86" i="53"/>
  <c r="K86" i="53"/>
  <c r="M73" i="54"/>
  <c r="M90" i="54" s="1"/>
  <c r="M92" i="54" s="1"/>
  <c r="M94" i="54" s="1"/>
  <c r="AE81" i="53"/>
  <c r="X71" i="36"/>
  <c r="BU81" i="36"/>
  <c r="CE79" i="37"/>
  <c r="C79" i="36"/>
  <c r="C88" i="37"/>
  <c r="C97" i="37" s="1"/>
  <c r="K79" i="37"/>
  <c r="CO79" i="37"/>
  <c r="CJ86" i="53"/>
  <c r="T86" i="53"/>
  <c r="CB86" i="54"/>
  <c r="AF88" i="37"/>
  <c r="AF79" i="36"/>
  <c r="AN79" i="37"/>
  <c r="AN71" i="53"/>
  <c r="AZ71" i="36"/>
  <c r="BH71" i="37"/>
  <c r="BH71" i="54"/>
  <c r="AZ81" i="36"/>
  <c r="BH81" i="37"/>
  <c r="BT88" i="53"/>
  <c r="CB79" i="53"/>
  <c r="CB81" i="54"/>
  <c r="BH71" i="53"/>
  <c r="AN71" i="37"/>
  <c r="AF71" i="36"/>
  <c r="T81" i="54"/>
  <c r="CJ81" i="54"/>
  <c r="BA88" i="54"/>
  <c r="E88" i="54"/>
  <c r="E97" i="54" s="1"/>
  <c r="CP79" i="54"/>
  <c r="CF79" i="54"/>
  <c r="Z73" i="53"/>
  <c r="CF71" i="53"/>
  <c r="CP71" i="53"/>
  <c r="BO88" i="53"/>
  <c r="CQ71" i="53"/>
  <c r="CG71" i="53"/>
  <c r="BY79" i="36"/>
  <c r="BY88" i="37"/>
  <c r="AJ86" i="36"/>
  <c r="P86" i="36"/>
  <c r="CL86" i="37"/>
  <c r="AM88" i="37"/>
  <c r="AM79" i="36"/>
  <c r="S88" i="37"/>
  <c r="S79" i="36"/>
  <c r="BG71" i="36"/>
  <c r="R73" i="53"/>
  <c r="BZ79" i="36"/>
  <c r="BZ88" i="37"/>
  <c r="AL88" i="37"/>
  <c r="AL79" i="36"/>
  <c r="BS81" i="54"/>
  <c r="BK88" i="53"/>
  <c r="BK97" i="53" s="1"/>
  <c r="BS79" i="53"/>
  <c r="AN86" i="54"/>
  <c r="L88" i="37"/>
  <c r="T79" i="37"/>
  <c r="L79" i="36"/>
  <c r="CJ79" i="37"/>
  <c r="CB71" i="53"/>
  <c r="BT86" i="36"/>
  <c r="CB86" i="37"/>
  <c r="AF88" i="54"/>
  <c r="AN79" i="54"/>
  <c r="Y97" i="53"/>
  <c r="BN88" i="54"/>
  <c r="Z71" i="36"/>
  <c r="Z69" i="36"/>
  <c r="Z73" i="37"/>
  <c r="AS81" i="36"/>
  <c r="Z88" i="37"/>
  <c r="Z79" i="36"/>
  <c r="BM96" i="54"/>
  <c r="BM95" i="54"/>
  <c r="CP81" i="53"/>
  <c r="CF81" i="53"/>
  <c r="BM86" i="36"/>
  <c r="BW71" i="36"/>
  <c r="Z95" i="54"/>
  <c r="Z96" i="54"/>
  <c r="Z88" i="54"/>
  <c r="BM81" i="36"/>
  <c r="AI81" i="36"/>
  <c r="BN81" i="36"/>
  <c r="CP86" i="54"/>
  <c r="CF86" i="54"/>
  <c r="CP71" i="37"/>
  <c r="E71" i="36"/>
  <c r="CF71" i="37"/>
  <c r="AT88" i="54"/>
  <c r="BN86" i="36"/>
  <c r="BM88" i="54"/>
  <c r="BM88" i="53"/>
  <c r="BM69" i="36"/>
  <c r="BM73" i="37"/>
  <c r="CP81" i="37"/>
  <c r="CF81" i="37"/>
  <c r="E81" i="36"/>
  <c r="O88" i="54"/>
  <c r="O86" i="36"/>
  <c r="BB73" i="53"/>
  <c r="N73" i="54"/>
  <c r="BB71" i="36"/>
  <c r="CK81" i="37"/>
  <c r="N81" i="36"/>
  <c r="AH73" i="53"/>
  <c r="AH69" i="36"/>
  <c r="AH73" i="36" s="1"/>
  <c r="AH73" i="37"/>
  <c r="AH86" i="36"/>
  <c r="AH88" i="53"/>
  <c r="AV86" i="36"/>
  <c r="AK73" i="54"/>
  <c r="AA86" i="36"/>
  <c r="BY97" i="53"/>
  <c r="G71" i="36"/>
  <c r="CQ71" i="37"/>
  <c r="CG71" i="37"/>
  <c r="Q88" i="53"/>
  <c r="AB81" i="36"/>
  <c r="BE88" i="54"/>
  <c r="BY73" i="53"/>
  <c r="BY90" i="53" s="1"/>
  <c r="BY92" i="53" s="1"/>
  <c r="BY94" i="53" s="1"/>
  <c r="AK71" i="36"/>
  <c r="H88" i="54"/>
  <c r="AA71" i="36"/>
  <c r="BX79" i="36"/>
  <c r="BX88" i="37"/>
  <c r="CL69" i="53"/>
  <c r="P73" i="53"/>
  <c r="CL86" i="54"/>
  <c r="P81" i="36"/>
  <c r="CL81" i="37"/>
  <c r="CL79" i="37"/>
  <c r="P79" i="36"/>
  <c r="P88" i="37"/>
  <c r="BX88" i="54"/>
  <c r="BX90" i="54" s="1"/>
  <c r="BX92" i="54" s="1"/>
  <c r="BD86" i="36"/>
  <c r="P88" i="54"/>
  <c r="CL79" i="54"/>
  <c r="AD79" i="36"/>
  <c r="AD88" i="37"/>
  <c r="AC88" i="53"/>
  <c r="CR86" i="37"/>
  <c r="CH86" i="37"/>
  <c r="I86" i="36"/>
  <c r="AX81" i="36"/>
  <c r="CH71" i="54"/>
  <c r="CR71" i="54"/>
  <c r="AC86" i="36"/>
  <c r="AD88" i="54"/>
  <c r="CA81" i="36"/>
  <c r="AD81" i="36"/>
  <c r="CR86" i="54"/>
  <c r="CH86" i="54"/>
  <c r="AX88" i="53"/>
  <c r="BR86" i="36"/>
  <c r="CR79" i="37"/>
  <c r="I88" i="37"/>
  <c r="I97" i="37" s="1"/>
  <c r="I79" i="36"/>
  <c r="CH79" i="37"/>
  <c r="BQ88" i="53"/>
  <c r="CR71" i="53"/>
  <c r="CH71" i="53"/>
  <c r="BF73" i="37"/>
  <c r="BF69" i="36"/>
  <c r="BF88" i="37"/>
  <c r="BF79" i="36"/>
  <c r="R88" i="54"/>
  <c r="CM79" i="54"/>
  <c r="CM71" i="53"/>
  <c r="R71" i="36"/>
  <c r="CM71" i="37"/>
  <c r="CM86" i="54"/>
  <c r="CM81" i="53"/>
  <c r="CM86" i="37"/>
  <c r="R86" i="36"/>
  <c r="CM71" i="54"/>
  <c r="CO86" i="54"/>
  <c r="K86" i="54"/>
  <c r="CE86" i="54"/>
  <c r="CO71" i="53"/>
  <c r="K71" i="53"/>
  <c r="CE71" i="53"/>
  <c r="BL86" i="36"/>
  <c r="CO81" i="54"/>
  <c r="CE81" i="54"/>
  <c r="K81" i="54"/>
  <c r="BU71" i="36"/>
  <c r="AG71" i="36"/>
  <c r="AR81" i="36"/>
  <c r="AE79" i="54"/>
  <c r="W88" i="54"/>
  <c r="W97" i="54" s="1"/>
  <c r="C81" i="36"/>
  <c r="CE81" i="37"/>
  <c r="CO81" i="37"/>
  <c r="K81" i="37"/>
  <c r="AG79" i="36"/>
  <c r="AG88" i="37"/>
  <c r="AG81" i="36"/>
  <c r="BU88" i="54"/>
  <c r="BU86" i="36"/>
  <c r="CB79" i="37"/>
  <c r="BT79" i="36"/>
  <c r="BT88" i="37"/>
  <c r="L81" i="36"/>
  <c r="CJ81" i="37"/>
  <c r="T81" i="37"/>
  <c r="AZ86" i="36"/>
  <c r="BH86" i="37"/>
  <c r="BH79" i="54"/>
  <c r="AZ88" i="54"/>
  <c r="AN81" i="54"/>
  <c r="CJ79" i="53"/>
  <c r="T79" i="53"/>
  <c r="L88" i="53"/>
  <c r="CB71" i="37"/>
  <c r="BT71" i="36"/>
  <c r="AN71" i="54"/>
  <c r="CB79" i="54"/>
  <c r="BT88" i="54"/>
  <c r="CJ71" i="37"/>
  <c r="T71" i="37"/>
  <c r="L71" i="36"/>
  <c r="AN81" i="53"/>
  <c r="CJ86" i="54"/>
  <c r="T86" i="54"/>
  <c r="CF79" i="53"/>
  <c r="E88" i="53"/>
  <c r="E97" i="53" s="1"/>
  <c r="CP79" i="53"/>
  <c r="BC79" i="36"/>
  <c r="BC88" i="37"/>
  <c r="BW88" i="53"/>
  <c r="F95" i="54"/>
  <c r="F96" i="54"/>
  <c r="Z86" i="36"/>
  <c r="CK79" i="53"/>
  <c r="N88" i="53"/>
  <c r="BB79" i="36"/>
  <c r="BB88" i="37"/>
  <c r="BV79" i="36"/>
  <c r="BV88" i="37"/>
  <c r="CK71" i="53"/>
  <c r="AA88" i="37"/>
  <c r="AA79" i="36"/>
  <c r="AK96" i="53"/>
  <c r="AK95" i="53"/>
  <c r="BE96" i="54"/>
  <c r="BE95" i="54"/>
  <c r="BP88" i="37"/>
  <c r="BP79" i="36"/>
  <c r="AU97" i="54"/>
  <c r="AK79" i="36"/>
  <c r="AK88" i="37"/>
  <c r="Q95" i="54"/>
  <c r="Q96" i="54"/>
  <c r="CG81" i="54"/>
  <c r="CQ81" i="54"/>
  <c r="BD88" i="37"/>
  <c r="BD79" i="36"/>
  <c r="CL86" i="53"/>
  <c r="CL71" i="53"/>
  <c r="BG88" i="53"/>
  <c r="AW88" i="37"/>
  <c r="AW79" i="36"/>
  <c r="J79" i="36"/>
  <c r="J88" i="37"/>
  <c r="BF86" i="36"/>
  <c r="AL88" i="54"/>
  <c r="BA79" i="36"/>
  <c r="BA88" i="37"/>
  <c r="M97" i="54"/>
  <c r="BA86" i="36"/>
  <c r="AY71" i="53"/>
  <c r="BK71" i="36"/>
  <c r="BS71" i="37"/>
  <c r="AE71" i="53"/>
  <c r="AQ81" i="36"/>
  <c r="AY81" i="37"/>
  <c r="AY86" i="53"/>
  <c r="Y71" i="36"/>
  <c r="F88" i="53"/>
  <c r="F73" i="53"/>
  <c r="AT88" i="53"/>
  <c r="F81" i="36"/>
  <c r="O71" i="36"/>
  <c r="BN88" i="53"/>
  <c r="BN69" i="36"/>
  <c r="BN73" i="37"/>
  <c r="Y73" i="54"/>
  <c r="CF86" i="37"/>
  <c r="E86" i="36"/>
  <c r="CP86" i="37"/>
  <c r="AI88" i="53"/>
  <c r="BM73" i="53"/>
  <c r="AI86" i="36"/>
  <c r="AS73" i="54"/>
  <c r="AT81" i="36"/>
  <c r="AT88" i="37"/>
  <c r="AT79" i="36"/>
  <c r="Y86" i="36"/>
  <c r="AS88" i="53"/>
  <c r="BW81" i="36"/>
  <c r="O81" i="36"/>
  <c r="Z88" i="53"/>
  <c r="BN71" i="36"/>
  <c r="F71" i="36"/>
  <c r="Y88" i="54"/>
  <c r="AS88" i="37"/>
  <c r="AS79" i="36"/>
  <c r="E88" i="37"/>
  <c r="E97" i="37" s="1"/>
  <c r="CP79" i="37"/>
  <c r="E79" i="36"/>
  <c r="CF79" i="37"/>
  <c r="O88" i="37"/>
  <c r="O79" i="36"/>
  <c r="AT86" i="36"/>
  <c r="BC88" i="54"/>
  <c r="AT73" i="53"/>
  <c r="BN88" i="37"/>
  <c r="BN79" i="36"/>
  <c r="AS88" i="54"/>
  <c r="CF86" i="53"/>
  <c r="CP86" i="53"/>
  <c r="AS73" i="37"/>
  <c r="BC71" i="36"/>
  <c r="BV86" i="36"/>
  <c r="BB69" i="36"/>
  <c r="BB73" i="37"/>
  <c r="BV88" i="54"/>
  <c r="BV81" i="36"/>
  <c r="BV73" i="37"/>
  <c r="BV69" i="36"/>
  <c r="N88" i="54"/>
  <c r="CK79" i="54"/>
  <c r="BV71" i="36"/>
  <c r="BB86" i="36"/>
  <c r="CK81" i="54"/>
  <c r="N73" i="37"/>
  <c r="N69" i="36"/>
  <c r="CK81" i="53"/>
  <c r="Q88" i="37"/>
  <c r="Q79" i="36"/>
  <c r="CQ79" i="53"/>
  <c r="G88" i="53"/>
  <c r="G97" i="53" s="1"/>
  <c r="CG79" i="53"/>
  <c r="BE88" i="53"/>
  <c r="AV88" i="54"/>
  <c r="BY88" i="54"/>
  <c r="BP71" i="36"/>
  <c r="BE73" i="53"/>
  <c r="CQ71" i="54"/>
  <c r="CG71" i="54"/>
  <c r="BP81" i="36"/>
  <c r="H81" i="36"/>
  <c r="CQ81" i="53"/>
  <c r="CG81" i="53"/>
  <c r="BY69" i="36"/>
  <c r="BY73" i="37"/>
  <c r="Q81" i="36"/>
  <c r="AV88" i="53"/>
  <c r="BP86" i="36"/>
  <c r="BO88" i="54"/>
  <c r="BE81" i="36"/>
  <c r="BY71" i="36"/>
  <c r="Q86" i="36"/>
  <c r="BO81" i="36"/>
  <c r="AB88" i="37"/>
  <c r="AB79" i="36"/>
  <c r="CL79" i="53"/>
  <c r="P88" i="53"/>
  <c r="CL81" i="53"/>
  <c r="CL71" i="54"/>
  <c r="BX71" i="36"/>
  <c r="BD73" i="53"/>
  <c r="BD88" i="53"/>
  <c r="BX88" i="53"/>
  <c r="CL69" i="54"/>
  <c r="P73" i="54"/>
  <c r="BD81" i="36"/>
  <c r="P69" i="36"/>
  <c r="CL69" i="37"/>
  <c r="P73" i="37"/>
  <c r="BD73" i="54"/>
  <c r="BR88" i="53"/>
  <c r="J88" i="54"/>
  <c r="CA88" i="54"/>
  <c r="BR88" i="54"/>
  <c r="CA79" i="36"/>
  <c r="CA88" i="37"/>
  <c r="I81" i="36"/>
  <c r="CH81" i="37"/>
  <c r="CR81" i="37"/>
  <c r="CA86" i="36"/>
  <c r="CR71" i="37"/>
  <c r="I71" i="36"/>
  <c r="CH71" i="37"/>
  <c r="CA88" i="53"/>
  <c r="AD88" i="53"/>
  <c r="BG88" i="37"/>
  <c r="BG79" i="36"/>
  <c r="BR71" i="36"/>
  <c r="J86" i="36"/>
  <c r="CH81" i="53"/>
  <c r="CR81" i="53"/>
  <c r="AC71" i="36"/>
  <c r="J81" i="36"/>
  <c r="AW88" i="53"/>
  <c r="AX71" i="36"/>
  <c r="AC88" i="54"/>
  <c r="BQ88" i="37"/>
  <c r="BQ79" i="36"/>
  <c r="AL73" i="37"/>
  <c r="AL69" i="36"/>
  <c r="BF73" i="53"/>
  <c r="BF71" i="36"/>
  <c r="R73" i="54"/>
  <c r="AL88" i="53"/>
  <c r="BF88" i="54"/>
  <c r="BF90" i="54" s="1"/>
  <c r="BF92" i="54" s="1"/>
  <c r="AL81" i="36"/>
  <c r="BZ88" i="53"/>
  <c r="BZ90" i="53" s="1"/>
  <c r="BZ92" i="53" s="1"/>
  <c r="R81" i="36"/>
  <c r="CM81" i="37"/>
  <c r="BF81" i="36"/>
  <c r="BZ88" i="54"/>
  <c r="AG88" i="53"/>
  <c r="X88" i="37"/>
  <c r="X79" i="36"/>
  <c r="W86" i="36"/>
  <c r="AE86" i="37"/>
  <c r="BK88" i="37"/>
  <c r="BK97" i="37" s="1"/>
  <c r="BS79" i="37"/>
  <c r="BK79" i="36"/>
  <c r="AY71" i="54"/>
  <c r="K71" i="37"/>
  <c r="CE71" i="37"/>
  <c r="C71" i="36"/>
  <c r="CO71" i="37"/>
  <c r="X88" i="53"/>
  <c r="AE79" i="37"/>
  <c r="W88" i="37"/>
  <c r="W97" i="37" s="1"/>
  <c r="W79" i="36"/>
  <c r="BS71" i="54"/>
  <c r="AG86" i="36"/>
  <c r="BA81" i="36"/>
  <c r="AR88" i="37"/>
  <c r="AR79" i="36"/>
  <c r="BA88" i="53"/>
  <c r="M86" i="36"/>
  <c r="D88" i="37"/>
  <c r="D79" i="36"/>
  <c r="M88" i="53"/>
  <c r="AE71" i="37"/>
  <c r="W71" i="36"/>
  <c r="W88" i="53"/>
  <c r="W97" i="53" s="1"/>
  <c r="AE79" i="53"/>
  <c r="CE79" i="54"/>
  <c r="K79" i="54"/>
  <c r="C88" i="54"/>
  <c r="C97" i="54" s="1"/>
  <c r="CO79" i="54"/>
  <c r="D81" i="36"/>
  <c r="BS81" i="53"/>
  <c r="AE81" i="37"/>
  <c r="W81" i="36"/>
  <c r="BL88" i="53"/>
  <c r="BL71" i="36"/>
  <c r="AG88" i="54"/>
  <c r="AY81" i="53"/>
  <c r="M79" i="36"/>
  <c r="M88" i="37"/>
  <c r="BH79" i="53"/>
  <c r="AZ88" i="53"/>
  <c r="AZ79" i="36"/>
  <c r="BH79" i="37"/>
  <c r="AZ88" i="37"/>
  <c r="CB71" i="54"/>
  <c r="CJ71" i="53"/>
  <c r="T71" i="53"/>
  <c r="T71" i="54"/>
  <c r="CJ71" i="54"/>
  <c r="AF86" i="36"/>
  <c r="AN86" i="37"/>
  <c r="BH86" i="53"/>
  <c r="AF81" i="36"/>
  <c r="AN81" i="37"/>
  <c r="AN86" i="53"/>
  <c r="CB86" i="53"/>
  <c r="BH81" i="54"/>
  <c r="AS73" i="53"/>
  <c r="J73" i="54"/>
  <c r="D73" i="54"/>
  <c r="BQ73" i="54"/>
  <c r="AW73" i="54"/>
  <c r="AM73" i="53"/>
  <c r="BG73" i="53"/>
  <c r="S73" i="53"/>
  <c r="AC73" i="54"/>
  <c r="AD73" i="54"/>
  <c r="AI73" i="53"/>
  <c r="AU73" i="54"/>
  <c r="X73" i="54"/>
  <c r="AV73" i="54"/>
  <c r="BO73" i="53"/>
  <c r="AU73" i="53"/>
  <c r="AR73" i="53"/>
  <c r="X73" i="53"/>
  <c r="BW73" i="54"/>
  <c r="O73" i="54"/>
  <c r="BW73" i="53"/>
  <c r="AB73" i="53"/>
  <c r="AG73" i="54"/>
  <c r="BC73" i="53"/>
  <c r="O73" i="53"/>
  <c r="AB73" i="54"/>
  <c r="AA73" i="54"/>
  <c r="BQ73" i="53"/>
  <c r="AX73" i="54"/>
  <c r="BP73" i="54"/>
  <c r="BP73" i="53"/>
  <c r="AA73" i="53"/>
  <c r="H73" i="53"/>
  <c r="CA73" i="54"/>
  <c r="AM73" i="54"/>
  <c r="AR73" i="54"/>
  <c r="D73" i="53"/>
  <c r="AX73" i="53"/>
  <c r="AW73" i="53"/>
  <c r="BR73" i="53"/>
  <c r="AG73" i="53"/>
  <c r="BL73" i="53"/>
  <c r="AD73" i="53"/>
  <c r="BA73" i="53"/>
  <c r="BA73" i="54"/>
  <c r="AI73" i="54"/>
  <c r="BC73" i="54"/>
  <c r="BO73" i="54"/>
  <c r="AV73" i="53"/>
  <c r="H73" i="54"/>
  <c r="S73" i="54"/>
  <c r="BG73" i="54"/>
  <c r="CA73" i="53"/>
  <c r="BL73" i="54"/>
  <c r="AC73" i="53"/>
  <c r="J73" i="53"/>
  <c r="BR73" i="54"/>
  <c r="M73" i="53"/>
  <c r="BU73" i="54"/>
  <c r="BU73" i="53"/>
  <c r="Q96" i="53" l="1"/>
  <c r="BB73" i="36"/>
  <c r="AW90" i="54"/>
  <c r="AW92" i="54" s="1"/>
  <c r="AW94" i="54" s="1"/>
  <c r="AL90" i="54"/>
  <c r="AL92" i="54" s="1"/>
  <c r="BD90" i="53"/>
  <c r="BD92" i="53" s="1"/>
  <c r="CL73" i="37"/>
  <c r="CL96" i="37" s="1"/>
  <c r="BB90" i="54"/>
  <c r="BB92" i="54" s="1"/>
  <c r="D90" i="54"/>
  <c r="D92" i="54" s="1"/>
  <c r="D94" i="54" s="1"/>
  <c r="BW90" i="54"/>
  <c r="BW92" i="54" s="1"/>
  <c r="BW94" i="54" s="1"/>
  <c r="D88" i="36"/>
  <c r="D97" i="36" s="1"/>
  <c r="CC71" i="54"/>
  <c r="AR88" i="36"/>
  <c r="AR97" i="36" s="1"/>
  <c r="N90" i="53"/>
  <c r="N92" i="53" s="1"/>
  <c r="AL90" i="53"/>
  <c r="AL92" i="53" s="1"/>
  <c r="BI71" i="37"/>
  <c r="AH90" i="53"/>
  <c r="AH92" i="53" s="1"/>
  <c r="Z73" i="36"/>
  <c r="Z95" i="36" s="1"/>
  <c r="BX90" i="37"/>
  <c r="BX92" i="37" s="1"/>
  <c r="AK90" i="54"/>
  <c r="AK92" i="54" s="1"/>
  <c r="AK94" i="54" s="1"/>
  <c r="CC86" i="53"/>
  <c r="N90" i="54"/>
  <c r="N92" i="54" s="1"/>
  <c r="BX88" i="36"/>
  <c r="BZ90" i="37"/>
  <c r="BZ92" i="37" s="1"/>
  <c r="AJ90" i="54"/>
  <c r="AJ92" i="54" s="1"/>
  <c r="BF90" i="53"/>
  <c r="BF92" i="53" s="1"/>
  <c r="X88" i="36"/>
  <c r="X97" i="36" s="1"/>
  <c r="AU88" i="36"/>
  <c r="AU97" i="36" s="1"/>
  <c r="CL88" i="54"/>
  <c r="CL97" i="54" s="1"/>
  <c r="F90" i="54"/>
  <c r="F92" i="54" s="1"/>
  <c r="F94" i="54" s="1"/>
  <c r="M88" i="36"/>
  <c r="M97" i="36" s="1"/>
  <c r="BV90" i="54"/>
  <c r="BV92" i="54" s="1"/>
  <c r="AO86" i="37"/>
  <c r="BI81" i="53"/>
  <c r="BQ88" i="36"/>
  <c r="BQ97" i="36" s="1"/>
  <c r="AK90" i="53"/>
  <c r="AK92" i="53" s="1"/>
  <c r="AK94" i="53" s="1"/>
  <c r="BG90" i="54"/>
  <c r="BG92" i="54" s="1"/>
  <c r="BG94" i="54" s="1"/>
  <c r="BN88" i="36"/>
  <c r="BN97" i="36" s="1"/>
  <c r="CI86" i="54"/>
  <c r="CM71" i="36"/>
  <c r="BG97" i="54"/>
  <c r="Q73" i="36"/>
  <c r="Q96" i="36" s="1"/>
  <c r="AA90" i="53"/>
  <c r="AA92" i="53" s="1"/>
  <c r="AA94" i="53" s="1"/>
  <c r="AL73" i="36"/>
  <c r="BN73" i="36"/>
  <c r="BN96" i="36" s="1"/>
  <c r="BB90" i="37"/>
  <c r="BB92" i="37" s="1"/>
  <c r="BF90" i="37"/>
  <c r="BF92" i="37" s="1"/>
  <c r="CH88" i="53"/>
  <c r="CH97" i="53" s="1"/>
  <c r="BZ90" i="54"/>
  <c r="BZ92" i="54" s="1"/>
  <c r="BX90" i="53"/>
  <c r="BX92" i="53" s="1"/>
  <c r="AO71" i="54"/>
  <c r="CL88" i="37"/>
  <c r="CL90" i="37" s="1"/>
  <c r="CL92" i="37" s="1"/>
  <c r="CL94" i="37" s="1"/>
  <c r="CN73" i="53"/>
  <c r="AM88" i="36"/>
  <c r="AM97" i="36" s="1"/>
  <c r="AO71" i="37"/>
  <c r="Y73" i="36"/>
  <c r="Y96" i="36" s="1"/>
  <c r="AA88" i="36"/>
  <c r="AA97" i="36" s="1"/>
  <c r="CR88" i="54"/>
  <c r="CR97" i="54" s="1"/>
  <c r="BL90" i="54"/>
  <c r="BL92" i="54" s="1"/>
  <c r="BL94" i="54" s="1"/>
  <c r="BG88" i="36"/>
  <c r="BG97" i="36" s="1"/>
  <c r="CI81" i="54"/>
  <c r="CO88" i="53"/>
  <c r="CO97" i="53" s="1"/>
  <c r="BS88" i="54"/>
  <c r="BS97" i="54" s="1"/>
  <c r="AO86" i="53"/>
  <c r="AO81" i="54"/>
  <c r="AD88" i="36"/>
  <c r="AD97" i="36" s="1"/>
  <c r="BI81" i="54"/>
  <c r="AN81" i="36"/>
  <c r="AE81" i="36"/>
  <c r="CO88" i="54"/>
  <c r="CO97" i="54" s="1"/>
  <c r="AE88" i="53"/>
  <c r="AE97" i="53" s="1"/>
  <c r="AW88" i="36"/>
  <c r="AW97" i="36" s="1"/>
  <c r="AK88" i="36"/>
  <c r="AK97" i="36" s="1"/>
  <c r="CJ88" i="37"/>
  <c r="CJ97" i="37" s="1"/>
  <c r="BO88" i="36"/>
  <c r="CA88" i="36"/>
  <c r="CA97" i="36" s="1"/>
  <c r="AB88" i="36"/>
  <c r="AB97" i="36" s="1"/>
  <c r="Q88" i="36"/>
  <c r="Q97" i="36" s="1"/>
  <c r="CK88" i="54"/>
  <c r="CF88" i="53"/>
  <c r="CF97" i="53" s="1"/>
  <c r="AE88" i="54"/>
  <c r="AE97" i="54" s="1"/>
  <c r="AO86" i="54"/>
  <c r="BZ88" i="36"/>
  <c r="CF88" i="54"/>
  <c r="BM88" i="36"/>
  <c r="BM97" i="36" s="1"/>
  <c r="BS86" i="36"/>
  <c r="BL88" i="36"/>
  <c r="BL97" i="36" s="1"/>
  <c r="AB90" i="54"/>
  <c r="AB92" i="54" s="1"/>
  <c r="AB94" i="54" s="1"/>
  <c r="AE88" i="37"/>
  <c r="BS88" i="37"/>
  <c r="BS97" i="37" s="1"/>
  <c r="BD90" i="54"/>
  <c r="BD92" i="54" s="1"/>
  <c r="BB88" i="36"/>
  <c r="BB90" i="36" s="1"/>
  <c r="BB92" i="36" s="1"/>
  <c r="BB94" i="36" s="1"/>
  <c r="BC88" i="36"/>
  <c r="BC97" i="36" s="1"/>
  <c r="AA97" i="53"/>
  <c r="CC86" i="37"/>
  <c r="BY88" i="36"/>
  <c r="BY97" i="36" s="1"/>
  <c r="CC86" i="54"/>
  <c r="BI86" i="37"/>
  <c r="CQ88" i="54"/>
  <c r="CQ97" i="54" s="1"/>
  <c r="T69" i="54"/>
  <c r="L73" i="54"/>
  <c r="L90" i="54" s="1"/>
  <c r="L92" i="54" s="1"/>
  <c r="CJ69" i="54"/>
  <c r="CJ73" i="54" s="1"/>
  <c r="AV73" i="37"/>
  <c r="AV69" i="36"/>
  <c r="AV73" i="36" s="1"/>
  <c r="AA73" i="37"/>
  <c r="AA90" i="37" s="1"/>
  <c r="AA92" i="37" s="1"/>
  <c r="AA94" i="37" s="1"/>
  <c r="AA69" i="36"/>
  <c r="AA73" i="36" s="1"/>
  <c r="AN69" i="53"/>
  <c r="AF73" i="53"/>
  <c r="AF90" i="53" s="1"/>
  <c r="AF92" i="53" s="1"/>
  <c r="W73" i="53"/>
  <c r="AE69" i="53"/>
  <c r="AE73" i="53" s="1"/>
  <c r="BU69" i="36"/>
  <c r="BU73" i="36" s="1"/>
  <c r="BU73" i="37"/>
  <c r="BU90" i="37" s="1"/>
  <c r="BU92" i="37" s="1"/>
  <c r="BU94" i="37" s="1"/>
  <c r="BQ95" i="53"/>
  <c r="BQ96" i="53"/>
  <c r="BC95" i="53"/>
  <c r="BC96" i="53"/>
  <c r="O95" i="54"/>
  <c r="O96" i="54"/>
  <c r="X96" i="54"/>
  <c r="X95" i="54"/>
  <c r="BQ96" i="54"/>
  <c r="BQ95" i="54"/>
  <c r="BE90" i="53"/>
  <c r="BE92" i="53" s="1"/>
  <c r="BE94" i="53" s="1"/>
  <c r="BE97" i="53"/>
  <c r="AS90" i="37"/>
  <c r="AS92" i="37" s="1"/>
  <c r="AS94" i="37" s="1"/>
  <c r="AS97" i="37"/>
  <c r="AS96" i="54"/>
  <c r="AS95" i="54"/>
  <c r="AW97" i="37"/>
  <c r="CN81" i="37"/>
  <c r="U81" i="37"/>
  <c r="CH79" i="36"/>
  <c r="I88" i="36"/>
  <c r="I97" i="36" s="1"/>
  <c r="CR79" i="36"/>
  <c r="BE90" i="54"/>
  <c r="BE92" i="54" s="1"/>
  <c r="BE94" i="54" s="1"/>
  <c r="BE97" i="54"/>
  <c r="BN90" i="54"/>
  <c r="BN92" i="54" s="1"/>
  <c r="BN94" i="54" s="1"/>
  <c r="BN97" i="54"/>
  <c r="S97" i="37"/>
  <c r="Z96" i="53"/>
  <c r="Z95" i="53"/>
  <c r="BA90" i="54"/>
  <c r="BA92" i="54" s="1"/>
  <c r="BA94" i="54" s="1"/>
  <c r="BA97" i="54"/>
  <c r="AY86" i="36"/>
  <c r="BZ73" i="36"/>
  <c r="BP90" i="54"/>
  <c r="BP92" i="54" s="1"/>
  <c r="BP94" i="54" s="1"/>
  <c r="BP97" i="54"/>
  <c r="CK69" i="53"/>
  <c r="CK73" i="53" s="1"/>
  <c r="F88" i="36"/>
  <c r="M96" i="53"/>
  <c r="M95" i="53"/>
  <c r="AY69" i="54"/>
  <c r="AY73" i="54" s="1"/>
  <c r="AQ73" i="54"/>
  <c r="CA73" i="37"/>
  <c r="CA69" i="36"/>
  <c r="CA73" i="36" s="1"/>
  <c r="S96" i="54"/>
  <c r="S95" i="54"/>
  <c r="AV95" i="53"/>
  <c r="AV96" i="53"/>
  <c r="BA96" i="54"/>
  <c r="BA95" i="54"/>
  <c r="K69" i="54"/>
  <c r="CO69" i="54"/>
  <c r="CO73" i="54" s="1"/>
  <c r="C73" i="54"/>
  <c r="CE69" i="54"/>
  <c r="CE73" i="54" s="1"/>
  <c r="BA69" i="36"/>
  <c r="BA73" i="36" s="1"/>
  <c r="BA73" i="37"/>
  <c r="AC73" i="37"/>
  <c r="AC90" i="37" s="1"/>
  <c r="AC92" i="37" s="1"/>
  <c r="AC94" i="37" s="1"/>
  <c r="AC69" i="36"/>
  <c r="AC73" i="36" s="1"/>
  <c r="AX96" i="53"/>
  <c r="AX95" i="53"/>
  <c r="AR95" i="54"/>
  <c r="AR96" i="54"/>
  <c r="AN69" i="54"/>
  <c r="AF73" i="54"/>
  <c r="AF90" i="54" s="1"/>
  <c r="AF92" i="54" s="1"/>
  <c r="H95" i="53"/>
  <c r="H96" i="53"/>
  <c r="AA95" i="53"/>
  <c r="AA96" i="53"/>
  <c r="BW73" i="37"/>
  <c r="BW90" i="37" s="1"/>
  <c r="BW92" i="37" s="1"/>
  <c r="BW94" i="37" s="1"/>
  <c r="BW69" i="36"/>
  <c r="BW73" i="36" s="1"/>
  <c r="M69" i="36"/>
  <c r="M73" i="36" s="1"/>
  <c r="M73" i="37"/>
  <c r="M90" i="37" s="1"/>
  <c r="M92" i="37" s="1"/>
  <c r="M94" i="37" s="1"/>
  <c r="E73" i="37"/>
  <c r="CP69" i="37"/>
  <c r="CP73" i="37" s="1"/>
  <c r="CF69" i="37"/>
  <c r="CF73" i="37" s="1"/>
  <c r="E69" i="36"/>
  <c r="CB69" i="53"/>
  <c r="BT73" i="53"/>
  <c r="BT90" i="53" s="1"/>
  <c r="BT92" i="53" s="1"/>
  <c r="AB95" i="53"/>
  <c r="AB96" i="53"/>
  <c r="AU95" i="53"/>
  <c r="AU96" i="53"/>
  <c r="H73" i="37"/>
  <c r="H90" i="37" s="1"/>
  <c r="H92" i="37" s="1"/>
  <c r="H94" i="37" s="1"/>
  <c r="H69" i="36"/>
  <c r="H73" i="36" s="1"/>
  <c r="AI95" i="53"/>
  <c r="AI96" i="53"/>
  <c r="BG96" i="53"/>
  <c r="BG95" i="53"/>
  <c r="AX69" i="36"/>
  <c r="AX73" i="36" s="1"/>
  <c r="AX73" i="37"/>
  <c r="AX90" i="37" s="1"/>
  <c r="AX92" i="37" s="1"/>
  <c r="AX94" i="37" s="1"/>
  <c r="J96" i="54"/>
  <c r="J95" i="54"/>
  <c r="O73" i="37"/>
  <c r="O90" i="37" s="1"/>
  <c r="O92" i="37" s="1"/>
  <c r="O94" i="37" s="1"/>
  <c r="O69" i="36"/>
  <c r="O73" i="36" s="1"/>
  <c r="BI86" i="53"/>
  <c r="U71" i="54"/>
  <c r="CN71" i="54"/>
  <c r="BH88" i="53"/>
  <c r="BH97" i="53" s="1"/>
  <c r="BI79" i="53"/>
  <c r="AG90" i="54"/>
  <c r="AG92" i="54" s="1"/>
  <c r="AG94" i="54" s="1"/>
  <c r="AG97" i="54"/>
  <c r="X90" i="53"/>
  <c r="X92" i="53" s="1"/>
  <c r="X94" i="53" s="1"/>
  <c r="X97" i="53"/>
  <c r="CI71" i="37"/>
  <c r="X97" i="37"/>
  <c r="AW90" i="53"/>
  <c r="AW92" i="53" s="1"/>
  <c r="AW94" i="53" s="1"/>
  <c r="AW97" i="53"/>
  <c r="BG97" i="37"/>
  <c r="CR71" i="36"/>
  <c r="CH71" i="36"/>
  <c r="BR90" i="54"/>
  <c r="BR92" i="54" s="1"/>
  <c r="BR94" i="54" s="1"/>
  <c r="BR97" i="54"/>
  <c r="AB97" i="37"/>
  <c r="CG88" i="53"/>
  <c r="Q90" i="37"/>
  <c r="Q92" i="37" s="1"/>
  <c r="Q94" i="37" s="1"/>
  <c r="Q97" i="37"/>
  <c r="BN90" i="37"/>
  <c r="BN92" i="37" s="1"/>
  <c r="BN94" i="37" s="1"/>
  <c r="BN97" i="37"/>
  <c r="O88" i="36"/>
  <c r="CP88" i="37"/>
  <c r="Y90" i="54"/>
  <c r="Y92" i="54" s="1"/>
  <c r="Y94" i="54" s="1"/>
  <c r="Y97" i="54"/>
  <c r="AT88" i="36"/>
  <c r="CF86" i="36"/>
  <c r="CP86" i="36"/>
  <c r="AT90" i="53"/>
  <c r="AT92" i="53" s="1"/>
  <c r="AT94" i="53" s="1"/>
  <c r="AT97" i="53"/>
  <c r="BC90" i="53"/>
  <c r="BC92" i="53" s="1"/>
  <c r="BC94" i="53" s="1"/>
  <c r="BS71" i="36"/>
  <c r="J97" i="37"/>
  <c r="BG90" i="53"/>
  <c r="BG92" i="53" s="1"/>
  <c r="BG94" i="53" s="1"/>
  <c r="BG97" i="53"/>
  <c r="BD88" i="36"/>
  <c r="BD90" i="36" s="1"/>
  <c r="BD92" i="36" s="1"/>
  <c r="BD94" i="36" s="1"/>
  <c r="U86" i="54"/>
  <c r="CN86" i="54"/>
  <c r="U71" i="37"/>
  <c r="CN71" i="37"/>
  <c r="U79" i="53"/>
  <c r="T88" i="53"/>
  <c r="T97" i="53" s="1"/>
  <c r="CN79" i="53"/>
  <c r="BH88" i="54"/>
  <c r="BH97" i="54" s="1"/>
  <c r="BI79" i="54"/>
  <c r="CB88" i="37"/>
  <c r="CB97" i="37" s="1"/>
  <c r="CC79" i="37"/>
  <c r="AG97" i="37"/>
  <c r="CI71" i="53"/>
  <c r="AD90" i="54"/>
  <c r="AD92" i="54" s="1"/>
  <c r="AD94" i="54" s="1"/>
  <c r="AD97" i="54"/>
  <c r="CL73" i="53"/>
  <c r="H90" i="54"/>
  <c r="H92" i="54" s="1"/>
  <c r="H94" i="54" s="1"/>
  <c r="H97" i="54"/>
  <c r="CK69" i="54"/>
  <c r="CK73" i="54" s="1"/>
  <c r="O90" i="54"/>
  <c r="O92" i="54" s="1"/>
  <c r="O94" i="54" s="1"/>
  <c r="O97" i="54"/>
  <c r="BM95" i="37"/>
  <c r="BM96" i="37"/>
  <c r="Z96" i="37"/>
  <c r="Z95" i="37"/>
  <c r="L88" i="36"/>
  <c r="T79" i="36"/>
  <c r="CJ79" i="36"/>
  <c r="BS88" i="53"/>
  <c r="BY90" i="37"/>
  <c r="BY92" i="37" s="1"/>
  <c r="BY94" i="37" s="1"/>
  <c r="BY97" i="37"/>
  <c r="BO90" i="53"/>
  <c r="BO92" i="53" s="1"/>
  <c r="BO94" i="53" s="1"/>
  <c r="BO97" i="53"/>
  <c r="BI71" i="53"/>
  <c r="BI81" i="37"/>
  <c r="BH71" i="36"/>
  <c r="CO88" i="37"/>
  <c r="CE88" i="37"/>
  <c r="M96" i="54"/>
  <c r="M95" i="54"/>
  <c r="AY88" i="37"/>
  <c r="AY97" i="37" s="1"/>
  <c r="CI81" i="53"/>
  <c r="BU97" i="37"/>
  <c r="AY71" i="36"/>
  <c r="BS81" i="36"/>
  <c r="D90" i="53"/>
  <c r="D92" i="53" s="1"/>
  <c r="D94" i="53" s="1"/>
  <c r="D97" i="53"/>
  <c r="K86" i="36"/>
  <c r="CE86" i="36"/>
  <c r="CO86" i="36"/>
  <c r="R88" i="36"/>
  <c r="CM79" i="36"/>
  <c r="BR88" i="36"/>
  <c r="BQ90" i="54"/>
  <c r="BQ92" i="54" s="1"/>
  <c r="BQ94" i="54" s="1"/>
  <c r="BQ97" i="54"/>
  <c r="CN73" i="37"/>
  <c r="H88" i="36"/>
  <c r="H90" i="53"/>
  <c r="H92" i="53" s="1"/>
  <c r="H94" i="53" s="1"/>
  <c r="H97" i="53"/>
  <c r="Q90" i="54"/>
  <c r="Q92" i="54" s="1"/>
  <c r="Q94" i="54" s="1"/>
  <c r="Q97" i="54"/>
  <c r="AK95" i="37"/>
  <c r="AK96" i="37"/>
  <c r="Q95" i="37"/>
  <c r="Q96" i="37"/>
  <c r="AI90" i="54"/>
  <c r="AI92" i="54" s="1"/>
  <c r="AI94" i="54" s="1"/>
  <c r="AI97" i="54"/>
  <c r="Y95" i="53"/>
  <c r="Y96" i="53"/>
  <c r="F97" i="37"/>
  <c r="CC81" i="37"/>
  <c r="CJ88" i="54"/>
  <c r="BI86" i="54"/>
  <c r="BL97" i="37"/>
  <c r="R73" i="36"/>
  <c r="BE88" i="36"/>
  <c r="N90" i="37"/>
  <c r="N92" i="37" s="1"/>
  <c r="Y95" i="37"/>
  <c r="Y96" i="37"/>
  <c r="BM90" i="37"/>
  <c r="BM92" i="37" s="1"/>
  <c r="BM94" i="37" s="1"/>
  <c r="BM97" i="37"/>
  <c r="BW88" i="36"/>
  <c r="BU96" i="53"/>
  <c r="BU95" i="53"/>
  <c r="X73" i="37"/>
  <c r="X90" i="37" s="1"/>
  <c r="X92" i="37" s="1"/>
  <c r="X94" i="37" s="1"/>
  <c r="X69" i="36"/>
  <c r="X73" i="36" s="1"/>
  <c r="S73" i="37"/>
  <c r="S69" i="36"/>
  <c r="S73" i="36" s="1"/>
  <c r="K69" i="53"/>
  <c r="CO69" i="53"/>
  <c r="CO73" i="53" s="1"/>
  <c r="C73" i="53"/>
  <c r="CE69" i="53"/>
  <c r="CE73" i="53" s="1"/>
  <c r="BG69" i="36"/>
  <c r="BG73" i="36" s="1"/>
  <c r="BG73" i="37"/>
  <c r="BG90" i="37" s="1"/>
  <c r="BG92" i="37" s="1"/>
  <c r="BG94" i="37" s="1"/>
  <c r="BL96" i="53"/>
  <c r="BL95" i="53"/>
  <c r="BQ73" i="37"/>
  <c r="BQ90" i="37" s="1"/>
  <c r="BQ92" i="37" s="1"/>
  <c r="BQ94" i="37" s="1"/>
  <c r="BQ69" i="36"/>
  <c r="BQ73" i="36" s="1"/>
  <c r="D73" i="37"/>
  <c r="D69" i="36"/>
  <c r="D73" i="36" s="1"/>
  <c r="CA95" i="54"/>
  <c r="CA96" i="54"/>
  <c r="AG96" i="54"/>
  <c r="AG95" i="54"/>
  <c r="S96" i="53"/>
  <c r="S95" i="53"/>
  <c r="BA90" i="53"/>
  <c r="BA92" i="53" s="1"/>
  <c r="BA94" i="53" s="1"/>
  <c r="BA97" i="53"/>
  <c r="BR90" i="53"/>
  <c r="BR92" i="53" s="1"/>
  <c r="BR94" i="53" s="1"/>
  <c r="BR97" i="53"/>
  <c r="AV90" i="53"/>
  <c r="AV92" i="53" s="1"/>
  <c r="AV94" i="53" s="1"/>
  <c r="AV97" i="53"/>
  <c r="AS96" i="37"/>
  <c r="AS95" i="37"/>
  <c r="CP79" i="36"/>
  <c r="E88" i="36"/>
  <c r="E97" i="36" s="1"/>
  <c r="CF79" i="36"/>
  <c r="BN95" i="37"/>
  <c r="BN96" i="37"/>
  <c r="BP97" i="37"/>
  <c r="AA97" i="37"/>
  <c r="CJ71" i="36"/>
  <c r="T71" i="36"/>
  <c r="BF88" i="36"/>
  <c r="AD97" i="37"/>
  <c r="BM90" i="54"/>
  <c r="BM92" i="54" s="1"/>
  <c r="BM94" i="54" s="1"/>
  <c r="BM97" i="54"/>
  <c r="CL86" i="36"/>
  <c r="BR97" i="37"/>
  <c r="CG79" i="36"/>
  <c r="G88" i="36"/>
  <c r="G97" i="36" s="1"/>
  <c r="CQ79" i="36"/>
  <c r="CK71" i="36"/>
  <c r="J96" i="53"/>
  <c r="J95" i="53"/>
  <c r="CA95" i="53"/>
  <c r="CA96" i="53"/>
  <c r="BG96" i="54"/>
  <c r="BG95" i="54"/>
  <c r="AI73" i="37"/>
  <c r="AI90" i="37" s="1"/>
  <c r="AI92" i="37" s="1"/>
  <c r="AI94" i="37" s="1"/>
  <c r="AI69" i="36"/>
  <c r="AI73" i="36" s="1"/>
  <c r="J69" i="36"/>
  <c r="J73" i="36" s="1"/>
  <c r="J73" i="37"/>
  <c r="J90" i="37" s="1"/>
  <c r="J92" i="37" s="1"/>
  <c r="J94" i="37" s="1"/>
  <c r="BH69" i="53"/>
  <c r="AZ73" i="53"/>
  <c r="AZ90" i="53" s="1"/>
  <c r="AZ92" i="53" s="1"/>
  <c r="BA96" i="53"/>
  <c r="BA95" i="53"/>
  <c r="BS69" i="37"/>
  <c r="BS73" i="37" s="1"/>
  <c r="BK73" i="37"/>
  <c r="BK69" i="36"/>
  <c r="BR96" i="53"/>
  <c r="BR95" i="53"/>
  <c r="BL69" i="36"/>
  <c r="BL73" i="36" s="1"/>
  <c r="BL73" i="37"/>
  <c r="BL90" i="37" s="1"/>
  <c r="BL92" i="37" s="1"/>
  <c r="BL94" i="37" s="1"/>
  <c r="AY69" i="37"/>
  <c r="AY73" i="37" s="1"/>
  <c r="AQ73" i="37"/>
  <c r="AQ90" i="37" s="1"/>
  <c r="AQ92" i="37" s="1"/>
  <c r="AQ69" i="36"/>
  <c r="BP96" i="53"/>
  <c r="BP95" i="53"/>
  <c r="BC73" i="37"/>
  <c r="BC90" i="37" s="1"/>
  <c r="BC92" i="37" s="1"/>
  <c r="BC94" i="37" s="1"/>
  <c r="BC69" i="36"/>
  <c r="BC73" i="36" s="1"/>
  <c r="AY69" i="53"/>
  <c r="AY73" i="53" s="1"/>
  <c r="AQ73" i="53"/>
  <c r="CH69" i="37"/>
  <c r="CH73" i="37" s="1"/>
  <c r="I69" i="36"/>
  <c r="CR69" i="37"/>
  <c r="CR73" i="37" s="1"/>
  <c r="I73" i="37"/>
  <c r="BW96" i="53"/>
  <c r="BW95" i="53"/>
  <c r="BW95" i="54"/>
  <c r="BW96" i="54"/>
  <c r="BO95" i="53"/>
  <c r="BO96" i="53"/>
  <c r="AU96" i="54"/>
  <c r="AU95" i="54"/>
  <c r="AD96" i="54"/>
  <c r="AD95" i="54"/>
  <c r="AM96" i="53"/>
  <c r="AM95" i="53"/>
  <c r="G73" i="37"/>
  <c r="CQ69" i="37"/>
  <c r="CQ73" i="37" s="1"/>
  <c r="G69" i="36"/>
  <c r="CG69" i="37"/>
  <c r="CG73" i="37" s="1"/>
  <c r="F69" i="36"/>
  <c r="F73" i="36" s="1"/>
  <c r="F73" i="37"/>
  <c r="F90" i="37" s="1"/>
  <c r="F92" i="37" s="1"/>
  <c r="F94" i="37" s="1"/>
  <c r="AS95" i="53"/>
  <c r="AS96" i="53"/>
  <c r="CN71" i="53"/>
  <c r="U71" i="53"/>
  <c r="BI79" i="37"/>
  <c r="BH88" i="37"/>
  <c r="BH97" i="37" s="1"/>
  <c r="M97" i="37"/>
  <c r="CI79" i="54"/>
  <c r="K88" i="54"/>
  <c r="AE71" i="36"/>
  <c r="D97" i="37"/>
  <c r="AR97" i="37"/>
  <c r="AE79" i="36"/>
  <c r="W88" i="36"/>
  <c r="AG90" i="53"/>
  <c r="AG92" i="53" s="1"/>
  <c r="AG94" i="53" s="1"/>
  <c r="AG97" i="53"/>
  <c r="CM81" i="36"/>
  <c r="BQ97" i="37"/>
  <c r="AD90" i="53"/>
  <c r="AD92" i="53" s="1"/>
  <c r="AD94" i="53" s="1"/>
  <c r="AD97" i="53"/>
  <c r="CH81" i="36"/>
  <c r="CR81" i="36"/>
  <c r="CA90" i="54"/>
  <c r="CA92" i="54" s="1"/>
  <c r="CA94" i="54" s="1"/>
  <c r="CA97" i="54"/>
  <c r="CN73" i="54"/>
  <c r="P90" i="53"/>
  <c r="P92" i="53" s="1"/>
  <c r="BO90" i="54"/>
  <c r="BO92" i="54" s="1"/>
  <c r="BO94" i="54" s="1"/>
  <c r="BO97" i="54"/>
  <c r="BY96" i="37"/>
  <c r="BY95" i="37"/>
  <c r="BE96" i="53"/>
  <c r="BE95" i="53"/>
  <c r="BY90" i="54"/>
  <c r="BY92" i="54" s="1"/>
  <c r="BY94" i="54" s="1"/>
  <c r="BY97" i="54"/>
  <c r="AT95" i="53"/>
  <c r="AT96" i="53"/>
  <c r="O97" i="37"/>
  <c r="AT90" i="37"/>
  <c r="AT92" i="37" s="1"/>
  <c r="AT94" i="37" s="1"/>
  <c r="AT97" i="37"/>
  <c r="BM96" i="53"/>
  <c r="BM95" i="53"/>
  <c r="BN90" i="53"/>
  <c r="BN92" i="53" s="1"/>
  <c r="BN94" i="53" s="1"/>
  <c r="BN97" i="53"/>
  <c r="F96" i="53"/>
  <c r="F95" i="53"/>
  <c r="AY81" i="36"/>
  <c r="BA97" i="37"/>
  <c r="J88" i="36"/>
  <c r="BD90" i="37"/>
  <c r="BD92" i="37" s="1"/>
  <c r="AU90" i="54"/>
  <c r="AU92" i="54" s="1"/>
  <c r="AU94" i="54" s="1"/>
  <c r="BV90" i="37"/>
  <c r="BV92" i="37" s="1"/>
  <c r="CP88" i="53"/>
  <c r="CB71" i="36"/>
  <c r="CJ88" i="53"/>
  <c r="T81" i="36"/>
  <c r="CJ81" i="36"/>
  <c r="AG88" i="36"/>
  <c r="CE81" i="36"/>
  <c r="K81" i="36"/>
  <c r="CO81" i="36"/>
  <c r="AR90" i="54"/>
  <c r="AR92" i="54" s="1"/>
  <c r="AR94" i="54" s="1"/>
  <c r="CM88" i="54"/>
  <c r="BF73" i="36"/>
  <c r="BQ90" i="53"/>
  <c r="BQ92" i="53" s="1"/>
  <c r="BQ94" i="53" s="1"/>
  <c r="BQ97" i="53"/>
  <c r="CR88" i="37"/>
  <c r="CR97" i="37" s="1"/>
  <c r="P90" i="37"/>
  <c r="P92" i="37" s="1"/>
  <c r="CL81" i="36"/>
  <c r="Q90" i="53"/>
  <c r="Q92" i="53" s="1"/>
  <c r="Q94" i="53" s="1"/>
  <c r="Q97" i="53"/>
  <c r="CK81" i="36"/>
  <c r="CF81" i="36"/>
  <c r="CP81" i="36"/>
  <c r="BM73" i="36"/>
  <c r="AT90" i="54"/>
  <c r="AT92" i="54" s="1"/>
  <c r="AT94" i="54" s="1"/>
  <c r="AT97" i="54"/>
  <c r="Z88" i="36"/>
  <c r="CB86" i="36"/>
  <c r="T88" i="37"/>
  <c r="T97" i="37" s="1"/>
  <c r="CN79" i="37"/>
  <c r="U79" i="37"/>
  <c r="AL88" i="36"/>
  <c r="CM69" i="53"/>
  <c r="CM73" i="53" s="1"/>
  <c r="J90" i="53"/>
  <c r="J92" i="53" s="1"/>
  <c r="J94" i="53" s="1"/>
  <c r="AM97" i="37"/>
  <c r="CP88" i="54"/>
  <c r="U81" i="54"/>
  <c r="CN81" i="54"/>
  <c r="CC81" i="54"/>
  <c r="BH81" i="36"/>
  <c r="AO71" i="53"/>
  <c r="K88" i="37"/>
  <c r="K97" i="37" s="1"/>
  <c r="CI79" i="37"/>
  <c r="CI86" i="53"/>
  <c r="AY79" i="36"/>
  <c r="AQ88" i="36"/>
  <c r="BU88" i="36"/>
  <c r="CE88" i="53"/>
  <c r="CI86" i="37"/>
  <c r="CI71" i="54"/>
  <c r="AR90" i="53"/>
  <c r="AR92" i="53" s="1"/>
  <c r="AR94" i="53" s="1"/>
  <c r="AR97" i="53"/>
  <c r="R90" i="37"/>
  <c r="R92" i="37" s="1"/>
  <c r="CM88" i="53"/>
  <c r="AX90" i="54"/>
  <c r="AX92" i="54" s="1"/>
  <c r="AX94" i="54" s="1"/>
  <c r="AX97" i="54"/>
  <c r="CH88" i="54"/>
  <c r="CH97" i="54" s="1"/>
  <c r="AM90" i="53"/>
  <c r="AM92" i="53" s="1"/>
  <c r="AM94" i="53" s="1"/>
  <c r="AM97" i="53"/>
  <c r="BX73" i="36"/>
  <c r="AJ90" i="37"/>
  <c r="AJ92" i="37" s="1"/>
  <c r="AV88" i="36"/>
  <c r="BY95" i="54"/>
  <c r="BY96" i="54"/>
  <c r="CG86" i="36"/>
  <c r="CQ86" i="36"/>
  <c r="CG88" i="37"/>
  <c r="CG97" i="37" s="1"/>
  <c r="AK73" i="36"/>
  <c r="AU97" i="37"/>
  <c r="BB90" i="53"/>
  <c r="BB92" i="53" s="1"/>
  <c r="AI97" i="37"/>
  <c r="Y90" i="37"/>
  <c r="Y92" i="37" s="1"/>
  <c r="Y94" i="37" s="1"/>
  <c r="Y97" i="37"/>
  <c r="BN96" i="53"/>
  <c r="BN95" i="53"/>
  <c r="CN86" i="37"/>
  <c r="U86" i="37"/>
  <c r="U81" i="53"/>
  <c r="CN81" i="53"/>
  <c r="T88" i="54"/>
  <c r="T97" i="54" s="1"/>
  <c r="U79" i="54"/>
  <c r="CN79" i="54"/>
  <c r="CC81" i="53"/>
  <c r="AX97" i="37"/>
  <c r="AC97" i="37"/>
  <c r="CG81" i="36"/>
  <c r="CQ81" i="36"/>
  <c r="BE90" i="37"/>
  <c r="BE92" i="37" s="1"/>
  <c r="BE94" i="37" s="1"/>
  <c r="BE97" i="37"/>
  <c r="AB90" i="53"/>
  <c r="AB92" i="53" s="1"/>
  <c r="AB94" i="53" s="1"/>
  <c r="N88" i="36"/>
  <c r="CK79" i="36"/>
  <c r="AH90" i="37"/>
  <c r="AH92" i="37" s="1"/>
  <c r="AT96" i="36"/>
  <c r="AT95" i="36"/>
  <c r="BR73" i="37"/>
  <c r="BR69" i="36"/>
  <c r="BR73" i="36" s="1"/>
  <c r="AR73" i="37"/>
  <c r="AR90" i="37" s="1"/>
  <c r="AR92" i="37" s="1"/>
  <c r="AR94" i="37" s="1"/>
  <c r="AR69" i="36"/>
  <c r="AR73" i="36" s="1"/>
  <c r="AI95" i="54"/>
  <c r="AI96" i="54"/>
  <c r="AZ73" i="54"/>
  <c r="AZ90" i="54" s="1"/>
  <c r="AZ92" i="54" s="1"/>
  <c r="BH69" i="54"/>
  <c r="BT73" i="37"/>
  <c r="BT90" i="37" s="1"/>
  <c r="BT92" i="37" s="1"/>
  <c r="BT69" i="36"/>
  <c r="CB69" i="37"/>
  <c r="AM96" i="54"/>
  <c r="AM95" i="54"/>
  <c r="AB95" i="54"/>
  <c r="AB96" i="54"/>
  <c r="AR96" i="53"/>
  <c r="AR95" i="53"/>
  <c r="BO69" i="36"/>
  <c r="BO73" i="36" s="1"/>
  <c r="BO73" i="37"/>
  <c r="BO90" i="37" s="1"/>
  <c r="BO92" i="37" s="1"/>
  <c r="BO94" i="37" s="1"/>
  <c r="AW69" i="36"/>
  <c r="AW73" i="36" s="1"/>
  <c r="AW73" i="37"/>
  <c r="AW90" i="37" s="1"/>
  <c r="AW92" i="37" s="1"/>
  <c r="AW94" i="37" s="1"/>
  <c r="M90" i="53"/>
  <c r="M92" i="53" s="1"/>
  <c r="M94" i="53" s="1"/>
  <c r="M97" i="53"/>
  <c r="P73" i="36"/>
  <c r="CL69" i="36"/>
  <c r="N73" i="36"/>
  <c r="Z90" i="53"/>
  <c r="Z92" i="53" s="1"/>
  <c r="Z94" i="53" s="1"/>
  <c r="Z97" i="53"/>
  <c r="S90" i="53"/>
  <c r="S92" i="53" s="1"/>
  <c r="S94" i="53" s="1"/>
  <c r="BC97" i="37"/>
  <c r="CB88" i="54"/>
  <c r="CB97" i="54" s="1"/>
  <c r="CC79" i="54"/>
  <c r="CB79" i="36"/>
  <c r="BT88" i="36"/>
  <c r="AX90" i="53"/>
  <c r="AX92" i="53" s="1"/>
  <c r="AX94" i="53" s="1"/>
  <c r="AX97" i="53"/>
  <c r="CH86" i="36"/>
  <c r="CR86" i="36"/>
  <c r="CP71" i="36"/>
  <c r="CF71" i="36"/>
  <c r="AN79" i="36"/>
  <c r="AF88" i="36"/>
  <c r="CO79" i="36"/>
  <c r="K79" i="36"/>
  <c r="C88" i="36"/>
  <c r="C97" i="36" s="1"/>
  <c r="CE79" i="36"/>
  <c r="H97" i="37"/>
  <c r="BE95" i="36"/>
  <c r="BE96" i="36"/>
  <c r="CB81" i="36"/>
  <c r="BW97" i="37"/>
  <c r="BU96" i="54"/>
  <c r="BU95" i="54"/>
  <c r="CR69" i="53"/>
  <c r="CR73" i="53" s="1"/>
  <c r="I73" i="53"/>
  <c r="CH69" i="53"/>
  <c r="CH73" i="53" s="1"/>
  <c r="CH90" i="53" s="1"/>
  <c r="CH92" i="53" s="1"/>
  <c r="CH94" i="53" s="1"/>
  <c r="BS69" i="54"/>
  <c r="BS73" i="54" s="1"/>
  <c r="BK73" i="54"/>
  <c r="AC95" i="53"/>
  <c r="AC96" i="53"/>
  <c r="L73" i="53"/>
  <c r="L90" i="53" s="1"/>
  <c r="L92" i="53" s="1"/>
  <c r="T69" i="53"/>
  <c r="CJ69" i="53"/>
  <c r="CJ73" i="53" s="1"/>
  <c r="E73" i="54"/>
  <c r="CP69" i="54"/>
  <c r="CP73" i="54" s="1"/>
  <c r="CF69" i="54"/>
  <c r="CF73" i="54" s="1"/>
  <c r="AB69" i="36"/>
  <c r="AB73" i="36" s="1"/>
  <c r="AB73" i="37"/>
  <c r="AB90" i="37" s="1"/>
  <c r="AB92" i="37" s="1"/>
  <c r="AB94" i="37" s="1"/>
  <c r="BP69" i="36"/>
  <c r="BP73" i="36" s="1"/>
  <c r="BP73" i="37"/>
  <c r="BP90" i="37" s="1"/>
  <c r="BP92" i="37" s="1"/>
  <c r="BP94" i="37" s="1"/>
  <c r="AD73" i="37"/>
  <c r="AD69" i="36"/>
  <c r="AD73" i="36" s="1"/>
  <c r="BR95" i="54"/>
  <c r="BR96" i="54"/>
  <c r="CF69" i="53"/>
  <c r="CF73" i="53" s="1"/>
  <c r="E73" i="53"/>
  <c r="CP69" i="53"/>
  <c r="CP73" i="53" s="1"/>
  <c r="BL96" i="54"/>
  <c r="BL95" i="54"/>
  <c r="AE69" i="54"/>
  <c r="AE73" i="54" s="1"/>
  <c r="W73" i="54"/>
  <c r="H96" i="54"/>
  <c r="H95" i="54"/>
  <c r="BO96" i="54"/>
  <c r="BO95" i="54"/>
  <c r="BC95" i="54"/>
  <c r="BC96" i="54"/>
  <c r="AN69" i="37"/>
  <c r="AF69" i="36"/>
  <c r="AF73" i="37"/>
  <c r="AF90" i="37" s="1"/>
  <c r="AF92" i="37" s="1"/>
  <c r="AD96" i="53"/>
  <c r="AD95" i="53"/>
  <c r="CG69" i="54"/>
  <c r="CG73" i="54" s="1"/>
  <c r="CQ69" i="54"/>
  <c r="CQ73" i="54" s="1"/>
  <c r="G73" i="54"/>
  <c r="AG96" i="53"/>
  <c r="AG95" i="53"/>
  <c r="AW95" i="53"/>
  <c r="AW96" i="53"/>
  <c r="I73" i="54"/>
  <c r="CR69" i="54"/>
  <c r="CR73" i="54" s="1"/>
  <c r="CH69" i="54"/>
  <c r="CH73" i="54" s="1"/>
  <c r="W69" i="36"/>
  <c r="W73" i="37"/>
  <c r="AE69" i="37"/>
  <c r="AE73" i="37" s="1"/>
  <c r="D95" i="53"/>
  <c r="D96" i="53"/>
  <c r="AZ69" i="36"/>
  <c r="AZ73" i="37"/>
  <c r="AZ90" i="37" s="1"/>
  <c r="AZ92" i="37" s="1"/>
  <c r="BH69" i="37"/>
  <c r="AM73" i="37"/>
  <c r="AM90" i="37" s="1"/>
  <c r="AM92" i="37" s="1"/>
  <c r="AM94" i="37" s="1"/>
  <c r="AM69" i="36"/>
  <c r="AM73" i="36" s="1"/>
  <c r="CQ69" i="53"/>
  <c r="CQ73" i="53" s="1"/>
  <c r="G73" i="53"/>
  <c r="CG69" i="53"/>
  <c r="CG73" i="53" s="1"/>
  <c r="BP96" i="54"/>
  <c r="BP95" i="54"/>
  <c r="AG69" i="36"/>
  <c r="AG73" i="36" s="1"/>
  <c r="AG73" i="37"/>
  <c r="AG90" i="37" s="1"/>
  <c r="AG92" i="37" s="1"/>
  <c r="AG94" i="37" s="1"/>
  <c r="AX96" i="54"/>
  <c r="AX95" i="54"/>
  <c r="CO69" i="37"/>
  <c r="CO73" i="37" s="1"/>
  <c r="K69" i="37"/>
  <c r="C69" i="36"/>
  <c r="CE69" i="37"/>
  <c r="CE73" i="37" s="1"/>
  <c r="C73" i="37"/>
  <c r="BK73" i="53"/>
  <c r="BS69" i="53"/>
  <c r="BS73" i="53" s="1"/>
  <c r="AA95" i="54"/>
  <c r="AA96" i="54"/>
  <c r="O95" i="53"/>
  <c r="O96" i="53"/>
  <c r="CB69" i="54"/>
  <c r="BT73" i="54"/>
  <c r="BT90" i="54" s="1"/>
  <c r="BT92" i="54" s="1"/>
  <c r="L73" i="37"/>
  <c r="L90" i="37" s="1"/>
  <c r="L92" i="37" s="1"/>
  <c r="CJ69" i="37"/>
  <c r="CJ73" i="37" s="1"/>
  <c r="L69" i="36"/>
  <c r="T69" i="37"/>
  <c r="X96" i="53"/>
  <c r="X95" i="53"/>
  <c r="AV95" i="54"/>
  <c r="AV96" i="54"/>
  <c r="AU69" i="36"/>
  <c r="AU73" i="36" s="1"/>
  <c r="AU73" i="37"/>
  <c r="AC95" i="54"/>
  <c r="AC96" i="54"/>
  <c r="AW95" i="54"/>
  <c r="AW96" i="54"/>
  <c r="D96" i="54"/>
  <c r="D95" i="54"/>
  <c r="AO81" i="37"/>
  <c r="AN86" i="36"/>
  <c r="BH79" i="36"/>
  <c r="AZ88" i="36"/>
  <c r="BL90" i="53"/>
  <c r="BL92" i="53" s="1"/>
  <c r="BL94" i="53" s="1"/>
  <c r="BL97" i="53"/>
  <c r="CE88" i="54"/>
  <c r="CO71" i="36"/>
  <c r="K71" i="36"/>
  <c r="CE71" i="36"/>
  <c r="BS79" i="36"/>
  <c r="BK88" i="36"/>
  <c r="BK97" i="36" s="1"/>
  <c r="AE86" i="36"/>
  <c r="CM69" i="54"/>
  <c r="CM73" i="54" s="1"/>
  <c r="AC90" i="54"/>
  <c r="AC92" i="54" s="1"/>
  <c r="AC94" i="54" s="1"/>
  <c r="AC97" i="54"/>
  <c r="CA90" i="53"/>
  <c r="CA92" i="53" s="1"/>
  <c r="CA94" i="53" s="1"/>
  <c r="CA97" i="53"/>
  <c r="CA97" i="37"/>
  <c r="J90" i="54"/>
  <c r="J92" i="54" s="1"/>
  <c r="J94" i="54" s="1"/>
  <c r="J97" i="54"/>
  <c r="CL95" i="37"/>
  <c r="CL73" i="54"/>
  <c r="CL88" i="53"/>
  <c r="BY73" i="36"/>
  <c r="AV90" i="54"/>
  <c r="AV92" i="54" s="1"/>
  <c r="AV94" i="54" s="1"/>
  <c r="AV97" i="54"/>
  <c r="CQ88" i="53"/>
  <c r="CQ97" i="53" s="1"/>
  <c r="CK69" i="37"/>
  <c r="CK73" i="37" s="1"/>
  <c r="BV73" i="36"/>
  <c r="AS69" i="36"/>
  <c r="AS73" i="36" s="1"/>
  <c r="AS90" i="54"/>
  <c r="AS92" i="54" s="1"/>
  <c r="AS94" i="54" s="1"/>
  <c r="AS97" i="54"/>
  <c r="BC90" i="54"/>
  <c r="BC92" i="54" s="1"/>
  <c r="BC94" i="54" s="1"/>
  <c r="BC97" i="54"/>
  <c r="CF88" i="37"/>
  <c r="AS88" i="36"/>
  <c r="AS90" i="53"/>
  <c r="AS92" i="53" s="1"/>
  <c r="AS94" i="53" s="1"/>
  <c r="AS97" i="53"/>
  <c r="AI90" i="53"/>
  <c r="AI92" i="53" s="1"/>
  <c r="AI94" i="53" s="1"/>
  <c r="AI97" i="53"/>
  <c r="Y96" i="54"/>
  <c r="Y95" i="54"/>
  <c r="F90" i="53"/>
  <c r="F92" i="53" s="1"/>
  <c r="F94" i="53" s="1"/>
  <c r="F97" i="53"/>
  <c r="BA88" i="36"/>
  <c r="AK90" i="37"/>
  <c r="AK92" i="37" s="1"/>
  <c r="AK94" i="37" s="1"/>
  <c r="AK97" i="37"/>
  <c r="BP88" i="36"/>
  <c r="BV88" i="36"/>
  <c r="CK88" i="53"/>
  <c r="BW90" i="53"/>
  <c r="BW92" i="53" s="1"/>
  <c r="BW94" i="53" s="1"/>
  <c r="BW97" i="53"/>
  <c r="AO81" i="53"/>
  <c r="CC71" i="37"/>
  <c r="BH86" i="36"/>
  <c r="BU90" i="54"/>
  <c r="BU92" i="54" s="1"/>
  <c r="BU94" i="54" s="1"/>
  <c r="BU97" i="54"/>
  <c r="CI81" i="37"/>
  <c r="CM86" i="36"/>
  <c r="R90" i="54"/>
  <c r="R92" i="54" s="1"/>
  <c r="CH88" i="37"/>
  <c r="CH97" i="37" s="1"/>
  <c r="S90" i="54"/>
  <c r="S92" i="54" s="1"/>
  <c r="S94" i="54" s="1"/>
  <c r="AC90" i="53"/>
  <c r="AC92" i="53" s="1"/>
  <c r="AC94" i="53" s="1"/>
  <c r="AC97" i="53"/>
  <c r="P90" i="54"/>
  <c r="P92" i="54" s="1"/>
  <c r="P88" i="36"/>
  <c r="CL79" i="36"/>
  <c r="BY95" i="53"/>
  <c r="BY96" i="53"/>
  <c r="CG71" i="36"/>
  <c r="CQ71" i="36"/>
  <c r="AK96" i="54"/>
  <c r="AK95" i="54"/>
  <c r="BM90" i="53"/>
  <c r="BM92" i="53" s="1"/>
  <c r="BM94" i="53" s="1"/>
  <c r="BM97" i="53"/>
  <c r="Z90" i="54"/>
  <c r="Z92" i="54" s="1"/>
  <c r="Z94" i="54" s="1"/>
  <c r="Z97" i="54"/>
  <c r="Z90" i="37"/>
  <c r="Z92" i="37" s="1"/>
  <c r="Z94" i="37" s="1"/>
  <c r="Z97" i="37"/>
  <c r="AN88" i="54"/>
  <c r="AN97" i="54" s="1"/>
  <c r="AO79" i="54"/>
  <c r="CC71" i="53"/>
  <c r="AL90" i="37"/>
  <c r="AL92" i="37" s="1"/>
  <c r="S88" i="36"/>
  <c r="AN71" i="36"/>
  <c r="CC79" i="53"/>
  <c r="CB88" i="53"/>
  <c r="CB97" i="53" s="1"/>
  <c r="BI71" i="54"/>
  <c r="AN88" i="37"/>
  <c r="AN97" i="37" s="1"/>
  <c r="AO79" i="37"/>
  <c r="U86" i="53"/>
  <c r="CN86" i="53"/>
  <c r="AQ97" i="37"/>
  <c r="K88" i="53"/>
  <c r="CI79" i="53"/>
  <c r="BU90" i="53"/>
  <c r="BU92" i="53" s="1"/>
  <c r="BU94" i="53" s="1"/>
  <c r="BU97" i="53"/>
  <c r="AY88" i="53"/>
  <c r="AY97" i="53" s="1"/>
  <c r="AY88" i="54"/>
  <c r="AY97" i="54" s="1"/>
  <c r="X90" i="54"/>
  <c r="X92" i="54" s="1"/>
  <c r="X94" i="54" s="1"/>
  <c r="CM88" i="37"/>
  <c r="R90" i="53"/>
  <c r="R92" i="53" s="1"/>
  <c r="CR88" i="53"/>
  <c r="CR97" i="53" s="1"/>
  <c r="AM90" i="54"/>
  <c r="AM92" i="54" s="1"/>
  <c r="AM94" i="54" s="1"/>
  <c r="AM97" i="54"/>
  <c r="CL71" i="36"/>
  <c r="AJ88" i="36"/>
  <c r="AJ90" i="36" s="1"/>
  <c r="AJ92" i="36" s="1"/>
  <c r="AJ94" i="36" s="1"/>
  <c r="AV97" i="37"/>
  <c r="AU90" i="53"/>
  <c r="AU92" i="53" s="1"/>
  <c r="AU94" i="53" s="1"/>
  <c r="AU97" i="53"/>
  <c r="BE95" i="37"/>
  <c r="BE96" i="37"/>
  <c r="AA90" i="54"/>
  <c r="AA92" i="54" s="1"/>
  <c r="AA94" i="54" s="1"/>
  <c r="AA97" i="54"/>
  <c r="CQ88" i="37"/>
  <c r="CG88" i="54"/>
  <c r="BP90" i="53"/>
  <c r="BP92" i="53" s="1"/>
  <c r="BP94" i="53" s="1"/>
  <c r="CK86" i="36"/>
  <c r="AI88" i="36"/>
  <c r="Y88" i="36"/>
  <c r="AT95" i="54"/>
  <c r="AT96" i="54"/>
  <c r="T86" i="36"/>
  <c r="CJ86" i="36"/>
  <c r="AN88" i="53"/>
  <c r="AN97" i="53" s="1"/>
  <c r="AO79" i="53"/>
  <c r="CM69" i="37"/>
  <c r="CM73" i="37" s="1"/>
  <c r="AX88" i="36"/>
  <c r="AC88" i="36"/>
  <c r="BO97" i="37"/>
  <c r="CK88" i="37"/>
  <c r="AH88" i="36"/>
  <c r="AH90" i="36" s="1"/>
  <c r="AH92" i="36" s="1"/>
  <c r="AH94" i="36" s="1"/>
  <c r="AT96" i="37"/>
  <c r="AT95" i="37"/>
  <c r="O90" i="53"/>
  <c r="O92" i="53" s="1"/>
  <c r="O94" i="53" s="1"/>
  <c r="BX90" i="36" l="1"/>
  <c r="BX92" i="36" s="1"/>
  <c r="BX94" i="36" s="1"/>
  <c r="CS71" i="37"/>
  <c r="BY90" i="36"/>
  <c r="BY92" i="36" s="1"/>
  <c r="BY94" i="36" s="1"/>
  <c r="AD90" i="36"/>
  <c r="AD92" i="36" s="1"/>
  <c r="AD94" i="36" s="1"/>
  <c r="AA90" i="36"/>
  <c r="AA92" i="36" s="1"/>
  <c r="AA94" i="36" s="1"/>
  <c r="CL90" i="54"/>
  <c r="CL92" i="54" s="1"/>
  <c r="CL94" i="54" s="1"/>
  <c r="Z96" i="36"/>
  <c r="CO90" i="53"/>
  <c r="CO92" i="53" s="1"/>
  <c r="CO94" i="53" s="1"/>
  <c r="CC71" i="36"/>
  <c r="CL88" i="36"/>
  <c r="CL97" i="36" s="1"/>
  <c r="BI88" i="53"/>
  <c r="BI97" i="53" s="1"/>
  <c r="CF90" i="54"/>
  <c r="CF92" i="54" s="1"/>
  <c r="CF94" i="54" s="1"/>
  <c r="BQ90" i="36"/>
  <c r="BQ92" i="36" s="1"/>
  <c r="BQ94" i="36" s="1"/>
  <c r="BZ90" i="36"/>
  <c r="BZ92" i="36" s="1"/>
  <c r="BZ94" i="36" s="1"/>
  <c r="AU90" i="36"/>
  <c r="AU92" i="36" s="1"/>
  <c r="AU94" i="36" s="1"/>
  <c r="AL90" i="36"/>
  <c r="AL92" i="36" s="1"/>
  <c r="AL94" i="36" s="1"/>
  <c r="BV90" i="36"/>
  <c r="BV92" i="36" s="1"/>
  <c r="BV94" i="36" s="1"/>
  <c r="Y95" i="36"/>
  <c r="Q95" i="36"/>
  <c r="CL97" i="37"/>
  <c r="BL90" i="36"/>
  <c r="BL92" i="36" s="1"/>
  <c r="BL94" i="36" s="1"/>
  <c r="CK69" i="36"/>
  <c r="CK73" i="36" s="1"/>
  <c r="CK95" i="36" s="1"/>
  <c r="BN95" i="36"/>
  <c r="AO88" i="37"/>
  <c r="AO97" i="37" s="1"/>
  <c r="P90" i="36"/>
  <c r="P92" i="36" s="1"/>
  <c r="P94" i="36" s="1"/>
  <c r="CC81" i="36"/>
  <c r="CE88" i="36"/>
  <c r="CE97" i="36" s="1"/>
  <c r="CI88" i="54"/>
  <c r="CI97" i="54" s="1"/>
  <c r="CF97" i="54"/>
  <c r="BN90" i="36"/>
  <c r="BN92" i="36" s="1"/>
  <c r="BN94" i="36" s="1"/>
  <c r="CK90" i="54"/>
  <c r="CK92" i="54" s="1"/>
  <c r="CK94" i="54" s="1"/>
  <c r="AW90" i="36"/>
  <c r="AW92" i="36" s="1"/>
  <c r="AW94" i="36" s="1"/>
  <c r="AO81" i="36"/>
  <c r="R90" i="36"/>
  <c r="R92" i="36" s="1"/>
  <c r="R94" i="36" s="1"/>
  <c r="BI71" i="36"/>
  <c r="BO90" i="36"/>
  <c r="BO92" i="36" s="1"/>
  <c r="BO94" i="36" s="1"/>
  <c r="AK90" i="36"/>
  <c r="AK92" i="36" s="1"/>
  <c r="AK94" i="36" s="1"/>
  <c r="BI81" i="36"/>
  <c r="AE90" i="37"/>
  <c r="CS86" i="37"/>
  <c r="BO97" i="36"/>
  <c r="CK97" i="54"/>
  <c r="AO88" i="53"/>
  <c r="AO97" i="53" s="1"/>
  <c r="CN88" i="54"/>
  <c r="CN90" i="54" s="1"/>
  <c r="CN92" i="54" s="1"/>
  <c r="CS81" i="53"/>
  <c r="CC86" i="36"/>
  <c r="AN92" i="54"/>
  <c r="AN94" i="54" s="1"/>
  <c r="U88" i="37"/>
  <c r="U97" i="37" s="1"/>
  <c r="BC90" i="36"/>
  <c r="BC92" i="36" s="1"/>
  <c r="BC94" i="36" s="1"/>
  <c r="Q90" i="36"/>
  <c r="Q92" i="36" s="1"/>
  <c r="Q94" i="36" s="1"/>
  <c r="CS86" i="53"/>
  <c r="AE97" i="37"/>
  <c r="AO88" i="54"/>
  <c r="AO97" i="54" s="1"/>
  <c r="BS88" i="36"/>
  <c r="BS97" i="36" s="1"/>
  <c r="CB92" i="54"/>
  <c r="CB94" i="54" s="1"/>
  <c r="AN92" i="37"/>
  <c r="AN94" i="37" s="1"/>
  <c r="CN88" i="37"/>
  <c r="CN90" i="37" s="1"/>
  <c r="CN92" i="37" s="1"/>
  <c r="CQ88" i="36"/>
  <c r="BI88" i="54"/>
  <c r="BI97" i="54" s="1"/>
  <c r="CS86" i="54"/>
  <c r="AQ94" i="37"/>
  <c r="CC88" i="53"/>
  <c r="CS79" i="53"/>
  <c r="CL90" i="53"/>
  <c r="CL92" i="53" s="1"/>
  <c r="CL94" i="53" s="1"/>
  <c r="CL97" i="53"/>
  <c r="CM96" i="54"/>
  <c r="CM95" i="54"/>
  <c r="CN69" i="37"/>
  <c r="T73" i="37"/>
  <c r="U69" i="37"/>
  <c r="U73" i="37" s="1"/>
  <c r="CO96" i="37"/>
  <c r="CO95" i="37"/>
  <c r="G90" i="53"/>
  <c r="G92" i="53" s="1"/>
  <c r="G94" i="53" s="1"/>
  <c r="G96" i="53"/>
  <c r="G95" i="53"/>
  <c r="CP90" i="54"/>
  <c r="CP92" i="54" s="1"/>
  <c r="CP94" i="54" s="1"/>
  <c r="CP97" i="54"/>
  <c r="G90" i="37"/>
  <c r="G92" i="37" s="1"/>
  <c r="G94" i="37" s="1"/>
  <c r="G96" i="37"/>
  <c r="G95" i="37"/>
  <c r="BI69" i="53"/>
  <c r="BI73" i="53" s="1"/>
  <c r="BH73" i="53"/>
  <c r="AI96" i="37"/>
  <c r="AI95" i="37"/>
  <c r="D95" i="36"/>
  <c r="D96" i="36"/>
  <c r="CE95" i="53"/>
  <c r="CE96" i="53"/>
  <c r="BE90" i="36"/>
  <c r="BE92" i="36" s="1"/>
  <c r="BE94" i="36" s="1"/>
  <c r="BE97" i="36"/>
  <c r="BS90" i="53"/>
  <c r="BS97" i="53"/>
  <c r="CG90" i="53"/>
  <c r="CG92" i="53" s="1"/>
  <c r="CG94" i="53" s="1"/>
  <c r="CG97" i="53"/>
  <c r="M95" i="37"/>
  <c r="M96" i="37"/>
  <c r="BA96" i="37"/>
  <c r="BA95" i="37"/>
  <c r="CH88" i="36"/>
  <c r="AN73" i="53"/>
  <c r="AO69" i="53"/>
  <c r="AO73" i="53" s="1"/>
  <c r="AC90" i="36"/>
  <c r="AC92" i="36" s="1"/>
  <c r="AC94" i="36" s="1"/>
  <c r="AC97" i="36"/>
  <c r="CK90" i="53"/>
  <c r="CK92" i="53" s="1"/>
  <c r="CK94" i="53" s="1"/>
  <c r="CK97" i="53"/>
  <c r="AS95" i="36"/>
  <c r="AS96" i="36"/>
  <c r="CJ69" i="36"/>
  <c r="CJ73" i="36" s="1"/>
  <c r="T69" i="36"/>
  <c r="L73" i="36"/>
  <c r="L90" i="36" s="1"/>
  <c r="L92" i="36" s="1"/>
  <c r="CC69" i="54"/>
  <c r="CB73" i="54"/>
  <c r="CQ90" i="53"/>
  <c r="CQ92" i="53" s="1"/>
  <c r="CQ94" i="53" s="1"/>
  <c r="CQ96" i="53"/>
  <c r="CQ95" i="53"/>
  <c r="CR95" i="54"/>
  <c r="CR96" i="54"/>
  <c r="AN69" i="36"/>
  <c r="AF73" i="36"/>
  <c r="AF90" i="36" s="1"/>
  <c r="AF92" i="36" s="1"/>
  <c r="BP95" i="37"/>
  <c r="BP96" i="37"/>
  <c r="CN69" i="53"/>
  <c r="U69" i="53"/>
  <c r="U73" i="53" s="1"/>
  <c r="T73" i="53"/>
  <c r="BK90" i="54"/>
  <c r="BK92" i="54" s="1"/>
  <c r="BK96" i="54"/>
  <c r="BK95" i="54"/>
  <c r="CI79" i="36"/>
  <c r="K88" i="36"/>
  <c r="K97" i="36" s="1"/>
  <c r="AW96" i="36"/>
  <c r="AW95" i="36"/>
  <c r="BI69" i="54"/>
  <c r="BI73" i="54" s="1"/>
  <c r="BH73" i="54"/>
  <c r="N90" i="36"/>
  <c r="N92" i="36" s="1"/>
  <c r="N94" i="36" s="1"/>
  <c r="U88" i="54"/>
  <c r="BU90" i="36"/>
  <c r="BU92" i="36" s="1"/>
  <c r="BU94" i="36" s="1"/>
  <c r="BU97" i="36"/>
  <c r="J90" i="36"/>
  <c r="J92" i="36" s="1"/>
  <c r="J94" i="36" s="1"/>
  <c r="J97" i="36"/>
  <c r="K97" i="54"/>
  <c r="CG90" i="37"/>
  <c r="CG92" i="37" s="1"/>
  <c r="CG94" i="37" s="1"/>
  <c r="CG96" i="37"/>
  <c r="CG95" i="37"/>
  <c r="AQ90" i="53"/>
  <c r="AQ92" i="53" s="1"/>
  <c r="AQ96" i="53"/>
  <c r="AQ95" i="53"/>
  <c r="D96" i="37"/>
  <c r="D95" i="37"/>
  <c r="C90" i="53"/>
  <c r="C92" i="53" s="1"/>
  <c r="C96" i="53"/>
  <c r="C95" i="53"/>
  <c r="CM69" i="36"/>
  <c r="CM73" i="36" s="1"/>
  <c r="CJ88" i="36"/>
  <c r="AT90" i="36"/>
  <c r="AT92" i="36" s="1"/>
  <c r="AT94" i="36" s="1"/>
  <c r="AT97" i="36"/>
  <c r="O90" i="36"/>
  <c r="O92" i="36" s="1"/>
  <c r="O94" i="36" s="1"/>
  <c r="O97" i="36"/>
  <c r="M95" i="36"/>
  <c r="M96" i="36"/>
  <c r="AO69" i="54"/>
  <c r="AO73" i="54" s="1"/>
  <c r="AN73" i="54"/>
  <c r="K73" i="54"/>
  <c r="CI69" i="54"/>
  <c r="CA96" i="37"/>
  <c r="CA95" i="37"/>
  <c r="CJ96" i="54"/>
  <c r="CJ95" i="54"/>
  <c r="CK90" i="37"/>
  <c r="CK92" i="37" s="1"/>
  <c r="CK94" i="37" s="1"/>
  <c r="CK97" i="37"/>
  <c r="AX90" i="36"/>
  <c r="AX92" i="36" s="1"/>
  <c r="AX94" i="36" s="1"/>
  <c r="AX97" i="36"/>
  <c r="Y90" i="36"/>
  <c r="Y92" i="36" s="1"/>
  <c r="Y94" i="36" s="1"/>
  <c r="Y97" i="36"/>
  <c r="CI88" i="53"/>
  <c r="CI97" i="53" s="1"/>
  <c r="S90" i="36"/>
  <c r="S92" i="36" s="1"/>
  <c r="S94" i="36" s="1"/>
  <c r="S97" i="36"/>
  <c r="BA90" i="36"/>
  <c r="BA92" i="36" s="1"/>
  <c r="BA94" i="36" s="1"/>
  <c r="BA97" i="36"/>
  <c r="AO86" i="36"/>
  <c r="AU95" i="37"/>
  <c r="AU96" i="37"/>
  <c r="CJ96" i="37"/>
  <c r="CJ95" i="37"/>
  <c r="BS96" i="53"/>
  <c r="BS95" i="53"/>
  <c r="CE69" i="36"/>
  <c r="CE73" i="36" s="1"/>
  <c r="CO69" i="36"/>
  <c r="CO73" i="36" s="1"/>
  <c r="K69" i="36"/>
  <c r="C73" i="36"/>
  <c r="AM95" i="36"/>
  <c r="AM96" i="36"/>
  <c r="AZ73" i="36"/>
  <c r="AZ90" i="36" s="1"/>
  <c r="AZ92" i="36" s="1"/>
  <c r="BH69" i="36"/>
  <c r="W90" i="37"/>
  <c r="W92" i="37" s="1"/>
  <c r="W96" i="37"/>
  <c r="W95" i="37"/>
  <c r="I90" i="54"/>
  <c r="I92" i="54" s="1"/>
  <c r="I94" i="54" s="1"/>
  <c r="I95" i="54"/>
  <c r="I96" i="54"/>
  <c r="AO69" i="37"/>
  <c r="AO73" i="37" s="1"/>
  <c r="AN73" i="37"/>
  <c r="W90" i="54"/>
  <c r="W92" i="54" s="1"/>
  <c r="W96" i="54"/>
  <c r="W95" i="54"/>
  <c r="CP95" i="53"/>
  <c r="CP96" i="53"/>
  <c r="BP96" i="36"/>
  <c r="BP95" i="36"/>
  <c r="CP96" i="54"/>
  <c r="CP95" i="54"/>
  <c r="BS90" i="54"/>
  <c r="BS96" i="54"/>
  <c r="BS95" i="54"/>
  <c r="CR90" i="54"/>
  <c r="CR92" i="54" s="1"/>
  <c r="CR94" i="54" s="1"/>
  <c r="CO88" i="36"/>
  <c r="CJ90" i="37"/>
  <c r="CJ92" i="37" s="1"/>
  <c r="CJ94" i="37" s="1"/>
  <c r="CL73" i="36"/>
  <c r="BO95" i="37"/>
  <c r="BO96" i="37"/>
  <c r="CC69" i="37"/>
  <c r="CB73" i="37"/>
  <c r="BH92" i="54"/>
  <c r="BH94" i="54" s="1"/>
  <c r="AR96" i="37"/>
  <c r="AR95" i="37"/>
  <c r="AV90" i="36"/>
  <c r="AV92" i="36" s="1"/>
  <c r="AV94" i="36" s="1"/>
  <c r="AV97" i="36"/>
  <c r="CM90" i="53"/>
  <c r="CM92" i="53" s="1"/>
  <c r="CM94" i="53" s="1"/>
  <c r="CM97" i="53"/>
  <c r="AQ97" i="36"/>
  <c r="CM95" i="53"/>
  <c r="CM96" i="53"/>
  <c r="Z90" i="36"/>
  <c r="Z92" i="36" s="1"/>
  <c r="Z94" i="36" s="1"/>
  <c r="Z97" i="36"/>
  <c r="CI81" i="36"/>
  <c r="CN81" i="36"/>
  <c r="U81" i="36"/>
  <c r="W97" i="36"/>
  <c r="BI88" i="37"/>
  <c r="BI97" i="37" s="1"/>
  <c r="G73" i="36"/>
  <c r="CG69" i="36"/>
  <c r="CG73" i="36" s="1"/>
  <c r="CQ69" i="36"/>
  <c r="CQ73" i="36" s="1"/>
  <c r="CR90" i="37"/>
  <c r="CR92" i="37" s="1"/>
  <c r="CR94" i="37" s="1"/>
  <c r="CR96" i="37"/>
  <c r="CR95" i="37"/>
  <c r="AY90" i="53"/>
  <c r="AY95" i="53"/>
  <c r="AY96" i="53"/>
  <c r="BL96" i="37"/>
  <c r="BL95" i="37"/>
  <c r="BS69" i="36"/>
  <c r="BS73" i="36" s="1"/>
  <c r="BS90" i="36" s="1"/>
  <c r="BK73" i="36"/>
  <c r="J96" i="36"/>
  <c r="J95" i="36"/>
  <c r="CG88" i="36"/>
  <c r="CG97" i="36" s="1"/>
  <c r="BF90" i="36"/>
  <c r="BF92" i="36" s="1"/>
  <c r="BF94" i="36" s="1"/>
  <c r="BQ95" i="36"/>
  <c r="BQ96" i="36"/>
  <c r="BG96" i="37"/>
  <c r="BG95" i="37"/>
  <c r="CO96" i="53"/>
  <c r="CO95" i="53"/>
  <c r="X95" i="36"/>
  <c r="X96" i="36"/>
  <c r="BW90" i="36"/>
  <c r="BW92" i="36" s="1"/>
  <c r="BW94" i="36" s="1"/>
  <c r="BW97" i="36"/>
  <c r="CJ90" i="54"/>
  <c r="CJ92" i="54" s="1"/>
  <c r="CJ94" i="54" s="1"/>
  <c r="CJ97" i="54"/>
  <c r="H90" i="36"/>
  <c r="H92" i="36" s="1"/>
  <c r="H94" i="36" s="1"/>
  <c r="H97" i="36"/>
  <c r="BR90" i="36"/>
  <c r="BR92" i="36" s="1"/>
  <c r="BR94" i="36" s="1"/>
  <c r="BR97" i="36"/>
  <c r="CE90" i="37"/>
  <c r="CE92" i="37" s="1"/>
  <c r="CE94" i="37" s="1"/>
  <c r="CE97" i="37"/>
  <c r="AM90" i="36"/>
  <c r="AM92" i="36" s="1"/>
  <c r="AM94" i="36" s="1"/>
  <c r="CN79" i="36"/>
  <c r="T88" i="36"/>
  <c r="T97" i="36" s="1"/>
  <c r="U79" i="36"/>
  <c r="CL95" i="53"/>
  <c r="CL96" i="53"/>
  <c r="CS79" i="37"/>
  <c r="CC88" i="37"/>
  <c r="CN88" i="53"/>
  <c r="CN90" i="53" s="1"/>
  <c r="CN92" i="53" s="1"/>
  <c r="O95" i="36"/>
  <c r="O96" i="36"/>
  <c r="AX96" i="37"/>
  <c r="AX95" i="37"/>
  <c r="CB92" i="53"/>
  <c r="CB94" i="53" s="1"/>
  <c r="CP96" i="37"/>
  <c r="CP95" i="37"/>
  <c r="BW95" i="36"/>
  <c r="BW96" i="36"/>
  <c r="AC95" i="36"/>
  <c r="AC96" i="36"/>
  <c r="CE95" i="54"/>
  <c r="CE96" i="54"/>
  <c r="AQ90" i="54"/>
  <c r="AQ92" i="54" s="1"/>
  <c r="AQ96" i="54"/>
  <c r="AQ95" i="54"/>
  <c r="F90" i="36"/>
  <c r="F92" i="36" s="1"/>
  <c r="F94" i="36" s="1"/>
  <c r="F97" i="36"/>
  <c r="CR88" i="36"/>
  <c r="X90" i="36"/>
  <c r="X92" i="36" s="1"/>
  <c r="X94" i="36" s="1"/>
  <c r="W90" i="53"/>
  <c r="W92" i="53" s="1"/>
  <c r="W95" i="53"/>
  <c r="W96" i="53"/>
  <c r="AA96" i="37"/>
  <c r="AA95" i="37"/>
  <c r="CG90" i="54"/>
  <c r="CG92" i="54" s="1"/>
  <c r="CG94" i="54" s="1"/>
  <c r="CG97" i="54"/>
  <c r="CM90" i="37"/>
  <c r="CM92" i="37" s="1"/>
  <c r="CM94" i="37" s="1"/>
  <c r="CM97" i="37"/>
  <c r="CF90" i="37"/>
  <c r="CF92" i="37" s="1"/>
  <c r="CF94" i="37" s="1"/>
  <c r="CF97" i="37"/>
  <c r="C90" i="37"/>
  <c r="C92" i="37" s="1"/>
  <c r="C96" i="37"/>
  <c r="C95" i="37"/>
  <c r="AG95" i="36"/>
  <c r="AG96" i="36"/>
  <c r="BH73" i="37"/>
  <c r="BI69" i="37"/>
  <c r="BI73" i="37" s="1"/>
  <c r="CH90" i="54"/>
  <c r="CH92" i="54" s="1"/>
  <c r="CH94" i="54" s="1"/>
  <c r="CH95" i="54"/>
  <c r="CH96" i="54"/>
  <c r="CQ90" i="54"/>
  <c r="CQ92" i="54" s="1"/>
  <c r="CQ94" i="54" s="1"/>
  <c r="CQ95" i="54"/>
  <c r="CQ96" i="54"/>
  <c r="CF96" i="53"/>
  <c r="CF95" i="53"/>
  <c r="AD95" i="37"/>
  <c r="AD96" i="37"/>
  <c r="AB96" i="36"/>
  <c r="AB95" i="36"/>
  <c r="CJ95" i="53"/>
  <c r="CJ96" i="53"/>
  <c r="I90" i="53"/>
  <c r="I92" i="53" s="1"/>
  <c r="I94" i="53" s="1"/>
  <c r="I95" i="53"/>
  <c r="I96" i="53"/>
  <c r="AN88" i="36"/>
  <c r="AN97" i="36" s="1"/>
  <c r="AO79" i="36"/>
  <c r="CB88" i="36"/>
  <c r="CB97" i="36" s="1"/>
  <c r="CC79" i="36"/>
  <c r="AW95" i="37"/>
  <c r="AW96" i="37"/>
  <c r="BR95" i="37"/>
  <c r="BR96" i="37"/>
  <c r="CK88" i="36"/>
  <c r="AK96" i="36"/>
  <c r="AK95" i="36"/>
  <c r="CE90" i="53"/>
  <c r="CE92" i="53" s="1"/>
  <c r="CE94" i="53" s="1"/>
  <c r="CE97" i="53"/>
  <c r="AG90" i="36"/>
  <c r="AG92" i="36" s="1"/>
  <c r="AG94" i="36" s="1"/>
  <c r="AG97" i="36"/>
  <c r="F95" i="36"/>
  <c r="F96" i="36"/>
  <c r="CH90" i="37"/>
  <c r="CH92" i="37" s="1"/>
  <c r="CH94" i="37" s="1"/>
  <c r="CH95" i="37"/>
  <c r="CH96" i="37"/>
  <c r="BC95" i="37"/>
  <c r="BC96" i="37"/>
  <c r="AQ96" i="37"/>
  <c r="AQ95" i="37"/>
  <c r="BS96" i="37"/>
  <c r="BS95" i="37"/>
  <c r="CQ97" i="36"/>
  <c r="D40" i="6"/>
  <c r="BR90" i="37"/>
  <c r="BR92" i="37" s="1"/>
  <c r="BR94" i="37" s="1"/>
  <c r="S96" i="36"/>
  <c r="S95" i="36"/>
  <c r="U88" i="53"/>
  <c r="CP90" i="37"/>
  <c r="CP92" i="37" s="1"/>
  <c r="CP94" i="37" s="1"/>
  <c r="CP97" i="37"/>
  <c r="H95" i="36"/>
  <c r="H96" i="36"/>
  <c r="CF69" i="36"/>
  <c r="CF73" i="36" s="1"/>
  <c r="E73" i="36"/>
  <c r="CP69" i="36"/>
  <c r="CP73" i="36" s="1"/>
  <c r="CO96" i="54"/>
  <c r="CO95" i="54"/>
  <c r="CA95" i="36"/>
  <c r="CA96" i="36"/>
  <c r="CF90" i="53"/>
  <c r="CF92" i="53" s="1"/>
  <c r="CF94" i="53" s="1"/>
  <c r="AB90" i="36"/>
  <c r="AB92" i="36" s="1"/>
  <c r="AB94" i="36" s="1"/>
  <c r="BU95" i="36"/>
  <c r="BU96" i="36"/>
  <c r="AV96" i="37"/>
  <c r="AV95" i="37"/>
  <c r="CQ90" i="37"/>
  <c r="CQ92" i="37" s="1"/>
  <c r="CQ94" i="37" s="1"/>
  <c r="CQ97" i="37"/>
  <c r="AV90" i="37"/>
  <c r="AV92" i="37" s="1"/>
  <c r="AV94" i="37" s="1"/>
  <c r="AO71" i="36"/>
  <c r="BP90" i="36"/>
  <c r="BP92" i="36" s="1"/>
  <c r="BP94" i="36" s="1"/>
  <c r="BP97" i="36"/>
  <c r="CL96" i="54"/>
  <c r="CL95" i="54"/>
  <c r="CI71" i="36"/>
  <c r="BI79" i="36"/>
  <c r="BH88" i="36"/>
  <c r="BH97" i="36" s="1"/>
  <c r="CE96" i="37"/>
  <c r="CE95" i="37"/>
  <c r="AE95" i="37"/>
  <c r="AE96" i="37"/>
  <c r="CG95" i="54"/>
  <c r="CG96" i="54"/>
  <c r="CF96" i="54"/>
  <c r="CF95" i="54"/>
  <c r="CR90" i="53"/>
  <c r="CR92" i="53" s="1"/>
  <c r="CR94" i="53" s="1"/>
  <c r="CR95" i="53"/>
  <c r="CR96" i="53"/>
  <c r="CS79" i="54"/>
  <c r="CC88" i="54"/>
  <c r="AR96" i="36"/>
  <c r="AR95" i="36"/>
  <c r="CI88" i="37"/>
  <c r="CI97" i="37" s="1"/>
  <c r="BM96" i="36"/>
  <c r="BM95" i="36"/>
  <c r="CP90" i="53"/>
  <c r="CP92" i="53" s="1"/>
  <c r="CP94" i="53" s="1"/>
  <c r="CP97" i="53"/>
  <c r="I90" i="37"/>
  <c r="I92" i="37" s="1"/>
  <c r="I94" i="37" s="1"/>
  <c r="I96" i="37"/>
  <c r="I95" i="37"/>
  <c r="AY90" i="37"/>
  <c r="AY96" i="37"/>
  <c r="AY95" i="37"/>
  <c r="J96" i="37"/>
  <c r="J95" i="37"/>
  <c r="AD90" i="37"/>
  <c r="AD92" i="37" s="1"/>
  <c r="AD94" i="37" s="1"/>
  <c r="CF88" i="36"/>
  <c r="CA90" i="36"/>
  <c r="CA92" i="36" s="1"/>
  <c r="CA94" i="36" s="1"/>
  <c r="S96" i="37"/>
  <c r="S95" i="37"/>
  <c r="D90" i="36"/>
  <c r="D92" i="36" s="1"/>
  <c r="D94" i="36" s="1"/>
  <c r="H96" i="37"/>
  <c r="H95" i="37"/>
  <c r="CF95" i="37"/>
  <c r="CF96" i="37"/>
  <c r="BA96" i="36"/>
  <c r="BA95" i="36"/>
  <c r="S90" i="37"/>
  <c r="S92" i="37" s="1"/>
  <c r="S94" i="37" s="1"/>
  <c r="AE90" i="53"/>
  <c r="AE96" i="53"/>
  <c r="AE95" i="53"/>
  <c r="AA95" i="36"/>
  <c r="AA96" i="36"/>
  <c r="CM96" i="37"/>
  <c r="CM95" i="37"/>
  <c r="CN86" i="36"/>
  <c r="U86" i="36"/>
  <c r="AI90" i="36"/>
  <c r="AI92" i="36" s="1"/>
  <c r="AI94" i="36" s="1"/>
  <c r="AI97" i="36"/>
  <c r="K97" i="53"/>
  <c r="AS90" i="36"/>
  <c r="AS92" i="36" s="1"/>
  <c r="AS94" i="36" s="1"/>
  <c r="AS97" i="36"/>
  <c r="CK95" i="37"/>
  <c r="CK96" i="37"/>
  <c r="BY95" i="36"/>
  <c r="BY96" i="36"/>
  <c r="CA90" i="37"/>
  <c r="CA92" i="37" s="1"/>
  <c r="CA94" i="37" s="1"/>
  <c r="CE90" i="54"/>
  <c r="CE92" i="54" s="1"/>
  <c r="CE94" i="54" s="1"/>
  <c r="CE97" i="54"/>
  <c r="M90" i="36"/>
  <c r="M92" i="36" s="1"/>
  <c r="M94" i="36" s="1"/>
  <c r="AU96" i="36"/>
  <c r="AU95" i="36"/>
  <c r="BK90" i="53"/>
  <c r="BK92" i="53" s="1"/>
  <c r="BK96" i="53"/>
  <c r="BK95" i="53"/>
  <c r="CI69" i="37"/>
  <c r="K73" i="37"/>
  <c r="CI73" i="37" s="1"/>
  <c r="AG96" i="37"/>
  <c r="AG95" i="37"/>
  <c r="CG95" i="53"/>
  <c r="CG96" i="53"/>
  <c r="AM96" i="37"/>
  <c r="AM95" i="37"/>
  <c r="AE69" i="36"/>
  <c r="AE73" i="36" s="1"/>
  <c r="W73" i="36"/>
  <c r="W90" i="36" s="1"/>
  <c r="W92" i="36" s="1"/>
  <c r="G90" i="54"/>
  <c r="G92" i="54" s="1"/>
  <c r="G94" i="54" s="1"/>
  <c r="G96" i="54"/>
  <c r="G95" i="54"/>
  <c r="AE90" i="54"/>
  <c r="AE96" i="54"/>
  <c r="AE95" i="54"/>
  <c r="E90" i="53"/>
  <c r="E92" i="53" s="1"/>
  <c r="E94" i="53" s="1"/>
  <c r="E96" i="53"/>
  <c r="E95" i="53"/>
  <c r="AD95" i="36"/>
  <c r="AD96" i="36"/>
  <c r="AB96" i="37"/>
  <c r="AB95" i="37"/>
  <c r="E90" i="54"/>
  <c r="E92" i="54" s="1"/>
  <c r="E94" i="54" s="1"/>
  <c r="E96" i="54"/>
  <c r="E95" i="54"/>
  <c r="CH96" i="53"/>
  <c r="CH95" i="53"/>
  <c r="CN73" i="36"/>
  <c r="CO90" i="54"/>
  <c r="CO92" i="54" s="1"/>
  <c r="CO94" i="54" s="1"/>
  <c r="BO96" i="36"/>
  <c r="BO95" i="36"/>
  <c r="CB69" i="36"/>
  <c r="BT73" i="36"/>
  <c r="BT90" i="36" s="1"/>
  <c r="BT92" i="36" s="1"/>
  <c r="BR96" i="36"/>
  <c r="BR95" i="36"/>
  <c r="AU90" i="37"/>
  <c r="AU92" i="37" s="1"/>
  <c r="AU94" i="37" s="1"/>
  <c r="AY88" i="36"/>
  <c r="AY97" i="36" s="1"/>
  <c r="CS81" i="54"/>
  <c r="CM90" i="54"/>
  <c r="CM92" i="54" s="1"/>
  <c r="CM94" i="54" s="1"/>
  <c r="CM97" i="54"/>
  <c r="CJ90" i="53"/>
  <c r="CJ92" i="53" s="1"/>
  <c r="CJ94" i="53" s="1"/>
  <c r="CJ97" i="53"/>
  <c r="BA90" i="37"/>
  <c r="BA92" i="37" s="1"/>
  <c r="BA94" i="37" s="1"/>
  <c r="AE88" i="36"/>
  <c r="D90" i="37"/>
  <c r="D92" i="37" s="1"/>
  <c r="D94" i="37" s="1"/>
  <c r="CS71" i="53"/>
  <c r="F95" i="37"/>
  <c r="F96" i="37"/>
  <c r="CQ95" i="37"/>
  <c r="CQ96" i="37"/>
  <c r="CH69" i="36"/>
  <c r="CH73" i="36" s="1"/>
  <c r="I73" i="36"/>
  <c r="CR69" i="36"/>
  <c r="CR73" i="36" s="1"/>
  <c r="BC95" i="36"/>
  <c r="BC96" i="36"/>
  <c r="AY69" i="36"/>
  <c r="AY73" i="36" s="1"/>
  <c r="AQ73" i="36"/>
  <c r="BL96" i="36"/>
  <c r="BL95" i="36"/>
  <c r="BK90" i="37"/>
  <c r="BK92" i="37" s="1"/>
  <c r="BK95" i="37"/>
  <c r="BK96" i="37"/>
  <c r="BH92" i="53"/>
  <c r="BH94" i="53" s="1"/>
  <c r="AI96" i="36"/>
  <c r="AI95" i="36"/>
  <c r="CN71" i="36"/>
  <c r="U71" i="36"/>
  <c r="CP88" i="36"/>
  <c r="BS90" i="37"/>
  <c r="BQ96" i="37"/>
  <c r="BQ95" i="37"/>
  <c r="BG90" i="36"/>
  <c r="BG92" i="36" s="1"/>
  <c r="BG94" i="36" s="1"/>
  <c r="BG95" i="36"/>
  <c r="BG96" i="36"/>
  <c r="K73" i="53"/>
  <c r="CI69" i="53"/>
  <c r="X96" i="37"/>
  <c r="X95" i="37"/>
  <c r="CS81" i="37"/>
  <c r="CM88" i="36"/>
  <c r="CI86" i="36"/>
  <c r="CO90" i="37"/>
  <c r="CO92" i="37" s="1"/>
  <c r="CO94" i="37" s="1"/>
  <c r="CO97" i="37"/>
  <c r="CK96" i="54"/>
  <c r="CK95" i="54"/>
  <c r="AR90" i="36"/>
  <c r="AR92" i="36" s="1"/>
  <c r="AR94" i="36" s="1"/>
  <c r="CS71" i="54"/>
  <c r="O96" i="37"/>
  <c r="O95" i="37"/>
  <c r="AX95" i="36"/>
  <c r="AX96" i="36"/>
  <c r="CC69" i="53"/>
  <c r="CB73" i="53"/>
  <c r="E90" i="37"/>
  <c r="E92" i="37" s="1"/>
  <c r="E94" i="37" s="1"/>
  <c r="E96" i="37"/>
  <c r="E95" i="37"/>
  <c r="BW95" i="37"/>
  <c r="BW96" i="37"/>
  <c r="AC96" i="37"/>
  <c r="AC95" i="37"/>
  <c r="C90" i="54"/>
  <c r="C92" i="54" s="1"/>
  <c r="C95" i="54"/>
  <c r="C96" i="54"/>
  <c r="AY90" i="54"/>
  <c r="AY96" i="54"/>
  <c r="AY95" i="54"/>
  <c r="BM90" i="36"/>
  <c r="BM92" i="36" s="1"/>
  <c r="BM94" i="36" s="1"/>
  <c r="CK95" i="53"/>
  <c r="CK96" i="53"/>
  <c r="BI86" i="36"/>
  <c r="BU95" i="37"/>
  <c r="BU96" i="37"/>
  <c r="AN92" i="53"/>
  <c r="AN94" i="53" s="1"/>
  <c r="AV95" i="36"/>
  <c r="AV96" i="36"/>
  <c r="T73" i="54"/>
  <c r="CN69" i="54"/>
  <c r="U69" i="54"/>
  <c r="U73" i="54" s="1"/>
  <c r="CK96" i="36" l="1"/>
  <c r="CE90" i="36"/>
  <c r="CE92" i="36" s="1"/>
  <c r="CE94" i="36" s="1"/>
  <c r="CS81" i="36"/>
  <c r="AO90" i="37"/>
  <c r="AO92" i="37" s="1"/>
  <c r="AO94" i="37" s="1"/>
  <c r="U88" i="36"/>
  <c r="U97" i="36" s="1"/>
  <c r="CS86" i="36"/>
  <c r="CS88" i="53"/>
  <c r="CS97" i="53" s="1"/>
  <c r="CS88" i="37"/>
  <c r="CS97" i="37" s="1"/>
  <c r="CB92" i="36"/>
  <c r="CB94" i="36" s="1"/>
  <c r="CN88" i="36"/>
  <c r="CN90" i="36" s="1"/>
  <c r="CN92" i="36" s="1"/>
  <c r="AN92" i="36"/>
  <c r="AN94" i="36" s="1"/>
  <c r="C94" i="54"/>
  <c r="K92" i="54"/>
  <c r="K94" i="54" s="1"/>
  <c r="AQ95" i="36"/>
  <c r="AQ96" i="36"/>
  <c r="CC97" i="54"/>
  <c r="CI90" i="37"/>
  <c r="CI92" i="37" s="1"/>
  <c r="CI94" i="37" s="1"/>
  <c r="CI95" i="37"/>
  <c r="CI96" i="37"/>
  <c r="CK90" i="36"/>
  <c r="CK92" i="36" s="1"/>
  <c r="CK94" i="36" s="1"/>
  <c r="CK97" i="36"/>
  <c r="CS79" i="36"/>
  <c r="CC88" i="36"/>
  <c r="CR97" i="36"/>
  <c r="E40" i="6"/>
  <c r="CC97" i="37"/>
  <c r="CO95" i="36"/>
  <c r="CO96" i="36"/>
  <c r="B38" i="6"/>
  <c r="CS69" i="54"/>
  <c r="CC73" i="54"/>
  <c r="CM90" i="36"/>
  <c r="CM92" i="36" s="1"/>
  <c r="CM94" i="36" s="1"/>
  <c r="CM97" i="36"/>
  <c r="BS92" i="37"/>
  <c r="BS94" i="37" s="1"/>
  <c r="BK94" i="37"/>
  <c r="CS88" i="54"/>
  <c r="CS97" i="54" s="1"/>
  <c r="AE92" i="36"/>
  <c r="AE94" i="36" s="1"/>
  <c r="W94" i="36"/>
  <c r="AE92" i="37"/>
  <c r="AE94" i="37" s="1"/>
  <c r="W94" i="37"/>
  <c r="CE96" i="36"/>
  <c r="CE95" i="36"/>
  <c r="CJ90" i="36"/>
  <c r="CJ92" i="36" s="1"/>
  <c r="CJ94" i="36" s="1"/>
  <c r="CJ97" i="36"/>
  <c r="T92" i="36"/>
  <c r="T94" i="36" s="1"/>
  <c r="U90" i="37"/>
  <c r="U92" i="37" s="1"/>
  <c r="U94" i="37" s="1"/>
  <c r="U96" i="37"/>
  <c r="U95" i="37"/>
  <c r="CI73" i="53"/>
  <c r="K95" i="53"/>
  <c r="K96" i="53"/>
  <c r="CS71" i="36"/>
  <c r="CC69" i="36"/>
  <c r="CB73" i="36"/>
  <c r="AO88" i="36"/>
  <c r="AO97" i="36" s="1"/>
  <c r="AE92" i="53"/>
  <c r="AE94" i="53" s="1"/>
  <c r="W94" i="53"/>
  <c r="BK90" i="36"/>
  <c r="BK92" i="36" s="1"/>
  <c r="BK96" i="36"/>
  <c r="BK95" i="36"/>
  <c r="G90" i="36"/>
  <c r="G92" i="36" s="1"/>
  <c r="G94" i="36" s="1"/>
  <c r="G96" i="36"/>
  <c r="G95" i="36"/>
  <c r="AQ90" i="36"/>
  <c r="AQ92" i="36" s="1"/>
  <c r="CB90" i="37"/>
  <c r="CB95" i="37"/>
  <c r="CB96" i="37"/>
  <c r="CL96" i="36"/>
  <c r="CL95" i="36"/>
  <c r="AN90" i="37"/>
  <c r="AN95" i="37"/>
  <c r="AN96" i="37"/>
  <c r="BI69" i="36"/>
  <c r="BI73" i="36" s="1"/>
  <c r="BH73" i="36"/>
  <c r="C90" i="36"/>
  <c r="C92" i="36" s="1"/>
  <c r="C95" i="36"/>
  <c r="C96" i="36"/>
  <c r="AO90" i="54"/>
  <c r="AO92" i="54" s="1"/>
  <c r="AO94" i="54" s="1"/>
  <c r="AO96" i="54"/>
  <c r="AO95" i="54"/>
  <c r="CM95" i="36"/>
  <c r="CM96" i="36"/>
  <c r="AY92" i="53"/>
  <c r="AY94" i="53" s="1"/>
  <c r="AQ94" i="53"/>
  <c r="BH90" i="54"/>
  <c r="BH95" i="54"/>
  <c r="BH96" i="54"/>
  <c r="BS92" i="54"/>
  <c r="BS94" i="54" s="1"/>
  <c r="BK94" i="54"/>
  <c r="U69" i="36"/>
  <c r="U73" i="36" s="1"/>
  <c r="CN69" i="36"/>
  <c r="T73" i="36"/>
  <c r="AO90" i="53"/>
  <c r="AO92" i="53" s="1"/>
  <c r="AO94" i="53" s="1"/>
  <c r="AO95" i="53"/>
  <c r="AO96" i="53"/>
  <c r="BI90" i="53"/>
  <c r="BI92" i="53" s="1"/>
  <c r="BI94" i="53" s="1"/>
  <c r="BI95" i="53"/>
  <c r="BI96" i="53"/>
  <c r="T90" i="37"/>
  <c r="T92" i="37" s="1"/>
  <c r="T94" i="37" s="1"/>
  <c r="T95" i="37"/>
  <c r="T96" i="37"/>
  <c r="CB90" i="53"/>
  <c r="CB95" i="53"/>
  <c r="CB96" i="53"/>
  <c r="CR90" i="36"/>
  <c r="CR92" i="36" s="1"/>
  <c r="CR95" i="36"/>
  <c r="CR96" i="36"/>
  <c r="E38" i="6"/>
  <c r="AE95" i="36"/>
  <c r="AE96" i="36"/>
  <c r="CP95" i="36"/>
  <c r="CP96" i="36"/>
  <c r="C38" i="6"/>
  <c r="CQ96" i="36"/>
  <c r="CQ95" i="36"/>
  <c r="D38" i="6"/>
  <c r="CO90" i="36"/>
  <c r="CO97" i="36"/>
  <c r="B40" i="6"/>
  <c r="CI73" i="54"/>
  <c r="K95" i="54"/>
  <c r="K96" i="54"/>
  <c r="U90" i="54"/>
  <c r="U92" i="54" s="1"/>
  <c r="U94" i="54" s="1"/>
  <c r="U97" i="54"/>
  <c r="U95" i="53"/>
  <c r="U96" i="53"/>
  <c r="CH90" i="36"/>
  <c r="CH92" i="36" s="1"/>
  <c r="CH94" i="36" s="1"/>
  <c r="CH97" i="36"/>
  <c r="T90" i="54"/>
  <c r="T92" i="54" s="1"/>
  <c r="T94" i="54" s="1"/>
  <c r="T95" i="54"/>
  <c r="T96" i="54"/>
  <c r="CS69" i="53"/>
  <c r="CC73" i="53"/>
  <c r="CC90" i="53" s="1"/>
  <c r="CC92" i="53" s="1"/>
  <c r="CC94" i="53" s="1"/>
  <c r="CP90" i="36"/>
  <c r="CP92" i="36" s="1"/>
  <c r="C40" i="6"/>
  <c r="CP97" i="36"/>
  <c r="AY90" i="36"/>
  <c r="AY95" i="36"/>
  <c r="AY96" i="36"/>
  <c r="I90" i="36"/>
  <c r="I92" i="36" s="1"/>
  <c r="I94" i="36" s="1"/>
  <c r="I95" i="36"/>
  <c r="I96" i="36"/>
  <c r="AE90" i="36"/>
  <c r="AE97" i="36"/>
  <c r="E90" i="36"/>
  <c r="E92" i="36" s="1"/>
  <c r="E94" i="36" s="1"/>
  <c r="E96" i="36"/>
  <c r="E95" i="36"/>
  <c r="CQ90" i="36"/>
  <c r="CQ92" i="36" s="1"/>
  <c r="BI90" i="37"/>
  <c r="BI92" i="37" s="1"/>
  <c r="BI94" i="37" s="1"/>
  <c r="BI95" i="37"/>
  <c r="BI96" i="37"/>
  <c r="AY92" i="54"/>
  <c r="AY94" i="54" s="1"/>
  <c r="AQ94" i="54"/>
  <c r="CG90" i="36"/>
  <c r="CG92" i="36" s="1"/>
  <c r="CG94" i="36" s="1"/>
  <c r="CG95" i="36"/>
  <c r="CG96" i="36"/>
  <c r="AE92" i="54"/>
  <c r="AE94" i="54" s="1"/>
  <c r="W94" i="54"/>
  <c r="AN90" i="54"/>
  <c r="AN96" i="54"/>
  <c r="AN95" i="54"/>
  <c r="K92" i="53"/>
  <c r="K94" i="53" s="1"/>
  <c r="C94" i="53"/>
  <c r="AN73" i="36"/>
  <c r="AO69" i="36"/>
  <c r="AO73" i="36" s="1"/>
  <c r="BH90" i="53"/>
  <c r="BH96" i="53"/>
  <c r="BH95" i="53"/>
  <c r="CC97" i="53"/>
  <c r="CH95" i="36"/>
  <c r="CH96" i="36"/>
  <c r="CF95" i="36"/>
  <c r="CF96" i="36"/>
  <c r="BH90" i="37"/>
  <c r="BH95" i="37"/>
  <c r="BH96" i="37"/>
  <c r="U95" i="54"/>
  <c r="U96" i="54"/>
  <c r="W95" i="36"/>
  <c r="W96" i="36"/>
  <c r="K90" i="37"/>
  <c r="K96" i="37"/>
  <c r="K95" i="37"/>
  <c r="BS92" i="53"/>
  <c r="BS94" i="53" s="1"/>
  <c r="BK94" i="53"/>
  <c r="K90" i="53"/>
  <c r="CF90" i="36"/>
  <c r="CF92" i="36" s="1"/>
  <c r="CF94" i="36" s="1"/>
  <c r="CF97" i="36"/>
  <c r="BH92" i="37"/>
  <c r="BH94" i="37" s="1"/>
  <c r="BI88" i="36"/>
  <c r="BI97" i="36" s="1"/>
  <c r="U90" i="53"/>
  <c r="U92" i="53" s="1"/>
  <c r="U94" i="53" s="1"/>
  <c r="U97" i="53"/>
  <c r="CB92" i="37"/>
  <c r="CB94" i="37" s="1"/>
  <c r="K92" i="37"/>
  <c r="K94" i="37" s="1"/>
  <c r="C94" i="37"/>
  <c r="CL90" i="36"/>
  <c r="CL92" i="36" s="1"/>
  <c r="CL94" i="36" s="1"/>
  <c r="BS96" i="36"/>
  <c r="BS95" i="36"/>
  <c r="CC73" i="37"/>
  <c r="CC90" i="37" s="1"/>
  <c r="CC92" i="37" s="1"/>
  <c r="CC94" i="37" s="1"/>
  <c r="CS69" i="37"/>
  <c r="AO96" i="37"/>
  <c r="AO95" i="37"/>
  <c r="BH92" i="36"/>
  <c r="BH94" i="36" s="1"/>
  <c r="K73" i="36"/>
  <c r="CI69" i="36"/>
  <c r="K90" i="54"/>
  <c r="BI90" i="54"/>
  <c r="BI92" i="54" s="1"/>
  <c r="BI94" i="54" s="1"/>
  <c r="BI95" i="54"/>
  <c r="BI96" i="54"/>
  <c r="CI88" i="36"/>
  <c r="CI97" i="36" s="1"/>
  <c r="T90" i="53"/>
  <c r="T92" i="53" s="1"/>
  <c r="T94" i="53" s="1"/>
  <c r="T96" i="53"/>
  <c r="T95" i="53"/>
  <c r="CB90" i="54"/>
  <c r="CB96" i="54"/>
  <c r="CB95" i="54"/>
  <c r="CJ95" i="36"/>
  <c r="CJ96" i="36"/>
  <c r="AN90" i="53"/>
  <c r="AN95" i="53"/>
  <c r="AN96" i="53"/>
  <c r="AY92" i="37"/>
  <c r="AY94" i="37" s="1"/>
  <c r="CS88" i="36" l="1"/>
  <c r="CO92" i="36"/>
  <c r="B15" i="6" s="1"/>
  <c r="D10" i="13"/>
  <c r="D13" i="13" s="1"/>
  <c r="D27" i="13" s="1"/>
  <c r="D36" i="13" s="1"/>
  <c r="D13" i="6"/>
  <c r="D15" i="6"/>
  <c r="D14" i="6"/>
  <c r="D35" i="6"/>
  <c r="CQ94" i="36"/>
  <c r="CI90" i="54"/>
  <c r="CI92" i="54" s="1"/>
  <c r="CI94" i="54" s="1"/>
  <c r="CI95" i="54"/>
  <c r="CI96" i="54"/>
  <c r="T90" i="36"/>
  <c r="T96" i="36"/>
  <c r="T95" i="36"/>
  <c r="CS69" i="36"/>
  <c r="CC73" i="36"/>
  <c r="CC90" i="36" s="1"/>
  <c r="CC92" i="36" s="1"/>
  <c r="CC94" i="36" s="1"/>
  <c r="CS97" i="36"/>
  <c r="C94" i="36"/>
  <c r="K92" i="36"/>
  <c r="K94" i="36" s="1"/>
  <c r="K90" i="36"/>
  <c r="K96" i="36"/>
  <c r="K95" i="36"/>
  <c r="CI73" i="36"/>
  <c r="C14" i="6"/>
  <c r="C10" i="13"/>
  <c r="C13" i="13" s="1"/>
  <c r="C27" i="13" s="1"/>
  <c r="C36" i="13" s="1"/>
  <c r="C13" i="6"/>
  <c r="C15" i="6"/>
  <c r="C35" i="6"/>
  <c r="CP94" i="36"/>
  <c r="U90" i="36"/>
  <c r="U92" i="36" s="1"/>
  <c r="U94" i="36" s="1"/>
  <c r="U95" i="36"/>
  <c r="U96" i="36"/>
  <c r="BH90" i="36"/>
  <c r="BH96" i="36"/>
  <c r="BH95" i="36"/>
  <c r="BS92" i="36"/>
  <c r="BS94" i="36" s="1"/>
  <c r="BK94" i="36"/>
  <c r="CS73" i="54"/>
  <c r="CC96" i="54"/>
  <c r="CC95" i="54"/>
  <c r="AN90" i="36"/>
  <c r="AN96" i="36"/>
  <c r="AN95" i="36"/>
  <c r="AY92" i="36"/>
  <c r="AY94" i="36" s="1"/>
  <c r="AQ94" i="36"/>
  <c r="CI90" i="53"/>
  <c r="CI92" i="53" s="1"/>
  <c r="CI94" i="53" s="1"/>
  <c r="CI96" i="53"/>
  <c r="CI95" i="53"/>
  <c r="CS73" i="37"/>
  <c r="CC96" i="37"/>
  <c r="CC95" i="37"/>
  <c r="AO90" i="36"/>
  <c r="AO92" i="36" s="1"/>
  <c r="AO94" i="36" s="1"/>
  <c r="AO95" i="36"/>
  <c r="AO96" i="36"/>
  <c r="CS73" i="53"/>
  <c r="CC95" i="53"/>
  <c r="CC96" i="53"/>
  <c r="E15" i="6"/>
  <c r="E10" i="13"/>
  <c r="E13" i="13" s="1"/>
  <c r="E27" i="13" s="1"/>
  <c r="E36" i="13" s="1"/>
  <c r="E13" i="6"/>
  <c r="CR94" i="36"/>
  <c r="E35" i="6"/>
  <c r="E14" i="6"/>
  <c r="BI90" i="36"/>
  <c r="BI92" i="36" s="1"/>
  <c r="BI94" i="36" s="1"/>
  <c r="BI95" i="36"/>
  <c r="BI96" i="36"/>
  <c r="CB90" i="36"/>
  <c r="CB96" i="36"/>
  <c r="CB95" i="36"/>
  <c r="CC97" i="36"/>
  <c r="CC90" i="54"/>
  <c r="CC92" i="54" s="1"/>
  <c r="CC94" i="54" s="1"/>
  <c r="B14" i="6" l="1"/>
  <c r="CO94" i="36"/>
  <c r="B10" i="13"/>
  <c r="B13" i="13" s="1"/>
  <c r="B27" i="13" s="1"/>
  <c r="B36" i="13" s="1"/>
  <c r="B40" i="13" s="1"/>
  <c r="B35" i="6"/>
  <c r="B13" i="6"/>
  <c r="CS90" i="37"/>
  <c r="CS92" i="37" s="1"/>
  <c r="CS94" i="37" s="1"/>
  <c r="CS96" i="37"/>
  <c r="CS95" i="37"/>
  <c r="CS90" i="53"/>
  <c r="CS92" i="53" s="1"/>
  <c r="CS94" i="53" s="1"/>
  <c r="CS96" i="53"/>
  <c r="CS95" i="53"/>
  <c r="CI90" i="36"/>
  <c r="CI92" i="36" s="1"/>
  <c r="CI94" i="36" s="1"/>
  <c r="CI95" i="36"/>
  <c r="CI96" i="36"/>
  <c r="CS73" i="36"/>
  <c r="CC95" i="36"/>
  <c r="CC96" i="36"/>
  <c r="CS90" i="54"/>
  <c r="CS92" i="54" s="1"/>
  <c r="CS94" i="54" s="1"/>
  <c r="CS95" i="54"/>
  <c r="CS96" i="54"/>
  <c r="C39" i="13" l="1"/>
  <c r="C40" i="13" s="1"/>
  <c r="CS96" i="36"/>
  <c r="CS95" i="36"/>
  <c r="CS90" i="36"/>
  <c r="CS92" i="36" s="1"/>
  <c r="D39" i="13" l="1"/>
  <c r="D40" i="13" s="1"/>
  <c r="E39" i="13" s="1"/>
  <c r="E40" i="13" s="1"/>
  <c r="CS94"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Janet Lau</author>
  </authors>
  <commentList>
    <comment ref="D18" authorId="0" shapeId="0" xr:uid="{EF7C692E-BCCA-40A7-B0CE-F38373D09BB7}">
      <text>
        <r>
          <rPr>
            <b/>
            <sz val="9"/>
            <color indexed="81"/>
            <rFont val="Tahoma"/>
            <family val="2"/>
          </rPr>
          <t>Janet Lau:</t>
        </r>
        <r>
          <rPr>
            <sz val="9"/>
            <color indexed="81"/>
            <rFont val="Tahoma"/>
            <family val="2"/>
          </rPr>
          <t xml:space="preserve">
</t>
        </r>
      </text>
    </comment>
  </commentList>
</comments>
</file>

<file path=xl/sharedStrings.xml><?xml version="1.0" encoding="utf-8"?>
<sst xmlns="http://schemas.openxmlformats.org/spreadsheetml/2006/main" count="5891" uniqueCount="1573">
  <si>
    <t>Reporting Period:</t>
  </si>
  <si>
    <t>Actual</t>
  </si>
  <si>
    <t>Net Worth</t>
  </si>
  <si>
    <t>Cash</t>
  </si>
  <si>
    <t>Working Capital</t>
  </si>
  <si>
    <t>Total Current Assets</t>
  </si>
  <si>
    <t>Property and Equipment</t>
  </si>
  <si>
    <t>Total Assets</t>
  </si>
  <si>
    <t>Current Liabilities</t>
  </si>
  <si>
    <t>Other Liabilities</t>
  </si>
  <si>
    <t>Total Liabilities</t>
  </si>
  <si>
    <t xml:space="preserve">Available Reserve </t>
  </si>
  <si>
    <t>Ongoing Net Worth Requirement</t>
  </si>
  <si>
    <t>Insolvency Reserve (Amount equivalent to  45 days of claims)</t>
  </si>
  <si>
    <t>Computation of Reserve Requirements Based on Membership</t>
  </si>
  <si>
    <t>Capitation Rates</t>
  </si>
  <si>
    <t>Membership (as of )</t>
  </si>
  <si>
    <t>Monthly Capitation</t>
  </si>
  <si>
    <t>Factor of 1.5 (45 Days)</t>
  </si>
  <si>
    <t>Reserve Requirement (13% of total health expenditures)</t>
  </si>
  <si>
    <t>Estimated annual health expenditures</t>
  </si>
  <si>
    <t xml:space="preserve">Total Reserve Requirement </t>
  </si>
  <si>
    <t>Acceptable forms of reserves</t>
  </si>
  <si>
    <t>a. Restricted cash reserves</t>
  </si>
  <si>
    <t>b. Performance guarantee</t>
  </si>
  <si>
    <t>c. Insolvency insurance</t>
  </si>
  <si>
    <t>Provider Name:</t>
  </si>
  <si>
    <t>Statement As Of:</t>
  </si>
  <si>
    <t>Prepared By:</t>
  </si>
  <si>
    <t>Date Prepared:</t>
  </si>
  <si>
    <t>Current Assets</t>
  </si>
  <si>
    <t xml:space="preserve">            -</t>
  </si>
  <si>
    <t>-</t>
  </si>
  <si>
    <t>Total Other Assets</t>
  </si>
  <si>
    <t>Total Property and Equipment</t>
  </si>
  <si>
    <t>=</t>
  </si>
  <si>
    <t>Liabilities</t>
  </si>
  <si>
    <t>Total Current Liabilities</t>
  </si>
  <si>
    <t>Total Other Liabilities</t>
  </si>
  <si>
    <t>Total Net Worth Excluding Non-Admitted Assets</t>
  </si>
  <si>
    <t>Total Liabilities and Net Worth Excluding Non-Admitted Assets</t>
  </si>
  <si>
    <t>Total Net Worth Including Non-Admitted Assets</t>
  </si>
  <si>
    <t>Total Liabilities and Net Worth Including Non-Admitted Assets</t>
  </si>
  <si>
    <t>Member Months</t>
  </si>
  <si>
    <t>Total Premium Revenue</t>
  </si>
  <si>
    <t>Total Revenue</t>
  </si>
  <si>
    <t>Total Expenses</t>
  </si>
  <si>
    <t>Net Income</t>
  </si>
  <si>
    <t>Profit Margin</t>
  </si>
  <si>
    <t>Administrative Expense Ratio</t>
  </si>
  <si>
    <t>Net Income From Operations</t>
  </si>
  <si>
    <t>Net Cash Flow from Operations</t>
  </si>
  <si>
    <t>Sources (Uses) of Cash</t>
  </si>
  <si>
    <t>Restricted Cash</t>
  </si>
  <si>
    <t>Prepaid Expenses</t>
  </si>
  <si>
    <t>Accounts Payable</t>
  </si>
  <si>
    <t>Medical Expense Payable</t>
  </si>
  <si>
    <t>Total Sources (Uses) of Cash</t>
  </si>
  <si>
    <t>Net Cash from Operating Activities</t>
  </si>
  <si>
    <t>Cash Flow from Investing Activities</t>
  </si>
  <si>
    <t>Cash Flow from Financing Activities</t>
  </si>
  <si>
    <t>Net Increase (Decrease) in Cash</t>
  </si>
  <si>
    <t>Beginning Cash</t>
  </si>
  <si>
    <t>Ending Cash</t>
  </si>
  <si>
    <t>FINANCIAL INDICATORS</t>
  </si>
  <si>
    <t>Qt. 1 YTD</t>
  </si>
  <si>
    <t>Qt. 2 YTD</t>
  </si>
  <si>
    <t>Qt. 3 YTD</t>
  </si>
  <si>
    <t>Qt. 4 YTD</t>
  </si>
  <si>
    <t>N/A</t>
  </si>
  <si>
    <t>RATE OF RETURN</t>
  </si>
  <si>
    <t>Assets</t>
  </si>
  <si>
    <t>Revenue</t>
  </si>
  <si>
    <t>Equity</t>
  </si>
  <si>
    <t>LIQUIDITY</t>
  </si>
  <si>
    <t>Current Ratio</t>
  </si>
  <si>
    <t>Acid Test</t>
  </si>
  <si>
    <t>Cash to Claims and Payables</t>
  </si>
  <si>
    <t>Days of Total Claims IBNR*</t>
  </si>
  <si>
    <t>Claims Payable as a % of Revenue</t>
  </si>
  <si>
    <t>CAPITAL STRUCTURE</t>
  </si>
  <si>
    <t>Debt Ratio</t>
  </si>
  <si>
    <t>Debt Service Coverage</t>
  </si>
  <si>
    <t>Receivables to Current Assets</t>
  </si>
  <si>
    <t>Cash to Current Assets</t>
  </si>
  <si>
    <t>Equity Per Enrollee</t>
  </si>
  <si>
    <t>FINANCIAL ACTIVITY</t>
  </si>
  <si>
    <t>Days of Premiums Receivables</t>
  </si>
  <si>
    <t>PROFITABILITY</t>
  </si>
  <si>
    <t>Net Profit Margin</t>
  </si>
  <si>
    <t>Gross Profit Margin</t>
  </si>
  <si>
    <t>Medical Expense PMPM**</t>
  </si>
  <si>
    <t xml:space="preserve"> </t>
  </si>
  <si>
    <t>Notes</t>
  </si>
  <si>
    <t>*IBNR - Incurred But Not yet Reported</t>
  </si>
  <si>
    <t>**PMPM - Per Member Per Month</t>
  </si>
  <si>
    <t>When reporting current and prior quarters, please change "Projected" to "Actual".</t>
  </si>
  <si>
    <t>Actual Balance Sheet</t>
  </si>
  <si>
    <t>Quarter 3</t>
  </si>
  <si>
    <t>Quarter 4</t>
  </si>
  <si>
    <t>Difference</t>
  </si>
  <si>
    <t>Actual Financial Ratios</t>
  </si>
  <si>
    <t>Quick Ratio</t>
  </si>
  <si>
    <t>Requirement Amount</t>
  </si>
  <si>
    <t>greater than zero</t>
  </si>
  <si>
    <t>a.  Calculation of the Requirement</t>
  </si>
  <si>
    <t>b.  Satisfaction of the Requirement</t>
  </si>
  <si>
    <t>Quarterly Medical Expenses</t>
  </si>
  <si>
    <t>Net Worth Used to Meet Insolvency Requirement</t>
  </si>
  <si>
    <t>Insolvency Reserve Restricted Cash Amount</t>
  </si>
  <si>
    <t>Restricted Cash Amount Used to Meet Insolvency Requirement</t>
  </si>
  <si>
    <t>Meets Insolvency Reserve Requirement</t>
  </si>
  <si>
    <t>Method Used to Meet Insolvency Reserve Requirement</t>
  </si>
  <si>
    <t>[Yes or No?]</t>
  </si>
  <si>
    <t>Amount Used</t>
  </si>
  <si>
    <t>Quarter 1</t>
  </si>
  <si>
    <t>July - September</t>
  </si>
  <si>
    <t>Covered Services Performance Bond</t>
  </si>
  <si>
    <t>Quarter 2</t>
  </si>
  <si>
    <t>October - December</t>
  </si>
  <si>
    <t xml:space="preserve">Insolvency Reserve Restricted Cash </t>
  </si>
  <si>
    <t>January - March</t>
  </si>
  <si>
    <t>April - June</t>
  </si>
  <si>
    <t>Note:</t>
  </si>
  <si>
    <t>Income Statement, Balance Sheet, Cash Flow Report, and Restricted Cash Amount documentation are required to verify amounts used in this worksheet.</t>
  </si>
  <si>
    <r>
      <t xml:space="preserve">Total </t>
    </r>
    <r>
      <rPr>
        <sz val="10"/>
        <rFont val="Arial"/>
        <family val="2"/>
      </rPr>
      <t>(Meets Requirement)</t>
    </r>
  </si>
  <si>
    <t>Q1</t>
  </si>
  <si>
    <t>Q2</t>
  </si>
  <si>
    <t>Q3</t>
  </si>
  <si>
    <t>Q4</t>
  </si>
  <si>
    <t>Cash Requirement Met?</t>
  </si>
  <si>
    <t>Total Allowed Assets *</t>
  </si>
  <si>
    <t>Plan Name</t>
  </si>
  <si>
    <t>Print name</t>
  </si>
  <si>
    <t>Date</t>
  </si>
  <si>
    <t>Signature &amp; Title</t>
  </si>
  <si>
    <t>Phone number</t>
  </si>
  <si>
    <t>Reinsurance Recoveries</t>
  </si>
  <si>
    <t>Other Revenue</t>
  </si>
  <si>
    <t>Coordination of Benefits (COB)</t>
  </si>
  <si>
    <t>All Other Revenue</t>
  </si>
  <si>
    <t>Sanctions</t>
  </si>
  <si>
    <t>Total Other Revenue</t>
  </si>
  <si>
    <t>NOTES TO FINANCIAL REPORTS</t>
  </si>
  <si>
    <t>FOR THE THREE MONTHS ENDING ________________________</t>
  </si>
  <si>
    <t>FOR</t>
  </si>
  <si>
    <t/>
  </si>
  <si>
    <t>Certification (to be Completed by Health Plan CFO)</t>
  </si>
  <si>
    <t>By: CFO</t>
  </si>
  <si>
    <t>Aggregate Write-Ins for Current Assets</t>
  </si>
  <si>
    <r>
      <t>Aggregate Write-Ins for Other Assets</t>
    </r>
    <r>
      <rPr>
        <sz val="10"/>
        <rFont val="Arial"/>
        <family val="2"/>
      </rPr>
      <t xml:space="preserve"> </t>
    </r>
  </si>
  <si>
    <t>Aggregate Write-ins for Current Liabilities</t>
  </si>
  <si>
    <t>Aggregate Write-Ins for Other Liabilities</t>
  </si>
  <si>
    <t>Add Back Depreciation and Amortization</t>
  </si>
  <si>
    <t>Premium and Reinsurance Recovery Receivable</t>
  </si>
  <si>
    <t>Other Assets</t>
  </si>
  <si>
    <t>Unearned Premiums</t>
  </si>
  <si>
    <t>Due to/from Affiliates</t>
  </si>
  <si>
    <t>(Additions)/Disposal of Fixed Assets</t>
  </si>
  <si>
    <t>Pharmacy</t>
  </si>
  <si>
    <t>Massachusetts SCO Program</t>
  </si>
  <si>
    <t>*If at least $800,000 of the minimum net worth requirement is met by cash, then the GAAP value of intangible assets up 20% of the minimum net worth will be allowed, if less than $1,200,000 of the minimum net worth requirement is met by cash, then the GAAP value of intangible assets up to 10% of the minimum net worth required will be allowed.</t>
  </si>
  <si>
    <t>Balance Sheet (projected)</t>
  </si>
  <si>
    <t>Please provide any applicable notes to the financial reports.</t>
  </si>
  <si>
    <t>Line # from Quarterly Report</t>
  </si>
  <si>
    <t>Term</t>
  </si>
  <si>
    <t>Definition</t>
  </si>
  <si>
    <t>Include cash and cash equivalents available for current use. Cash equivalents are investments maturing 90 days or less from the date of purchase. Exclude restricted cash (and equivalents) and any investments pledged by the Contractor to satisfy any applicable statutory deposit requirement.</t>
  </si>
  <si>
    <t>Include investments that are readily marketable and that are expected to be redeemed or sold within one year of the balance sheet date. Exclude Investments maturing 90 days or less than one year from the date of purchase and restricted securities. Also exclude investments pledged by the Contractor to satisfy statutory deposit requirements, if applicable.</t>
  </si>
  <si>
    <t>0007-0010</t>
  </si>
  <si>
    <r>
      <t>Amounts due from parent or subsidiary affiliate entities. Also includes notes receivable from/loans or advances to affiliated entities.</t>
    </r>
    <r>
      <rPr>
        <sz val="10"/>
        <color rgb="FFFF0000"/>
        <rFont val="Arial"/>
        <family val="2"/>
      </rPr>
      <t xml:space="preserve"> </t>
    </r>
    <r>
      <rPr>
        <b/>
        <sz val="10"/>
        <color rgb="FFFF0000"/>
        <rFont val="Arial"/>
        <family val="2"/>
      </rPr>
      <t>Amounts of $100,000 or greater, individually or in aggregate must provide a detailed explanation in the notes to the financial reports.</t>
    </r>
  </si>
  <si>
    <t>Investments that are expected to be held longer than one year.</t>
  </si>
  <si>
    <r>
      <t xml:space="preserve">Enter non-current restricted assets including statutory insolvency requirements. </t>
    </r>
    <r>
      <rPr>
        <b/>
        <sz val="10"/>
        <color rgb="FFFF0000"/>
        <rFont val="Arial"/>
        <family val="2"/>
      </rPr>
      <t>Amounts of $100,000 or greater, individually or in aggregate must provide a detailed explanation in the notes to the financial reports.</t>
    </r>
  </si>
  <si>
    <t>0018-0020</t>
  </si>
  <si>
    <t>Real estate owned by the Contractor.</t>
  </si>
  <si>
    <t>Medical equipment, office equipment, data processing hardware and software (where permitted) and furniture owned by the Contractor, as well as similar assets held under capital leases.</t>
  </si>
  <si>
    <t>Estimated unreported referral claims. Exclude RBUCs.</t>
  </si>
  <si>
    <t>0027-0029</t>
  </si>
  <si>
    <t>Aggregate Write-Ins For Other Net Worth Items</t>
  </si>
  <si>
    <t>Income from COB and Subrogation. Alternatively, COB for a particular claim may be recognized as a negative claim expense.</t>
  </si>
  <si>
    <t>Income from the settlement of claims resulting from a policy with a private reinsurance carrier.</t>
  </si>
  <si>
    <t>Revenue from sources not covered in the previous revenue accounts.</t>
  </si>
  <si>
    <t>All expenses for administrative services including compensation and fringe benefits for personnel time devoted to or in direct support of administration. Include expenses for management contracts. Do not include marketing expenses here.</t>
  </si>
  <si>
    <t>Expenses associated with administrative services which include the costs of occupancy to the reporting entity which are directly associated with the reporting entity administration. These include the costs of using a facility, fire and theft insurance, utilities, maintenance, lease, etc. Do not include expenses for marketing in this category.</t>
  </si>
  <si>
    <t>0041-0044</t>
  </si>
  <si>
    <t>0048-0051</t>
  </si>
  <si>
    <t>0058-0061</t>
  </si>
  <si>
    <t>Any notes or further explanations of any items contained in any of the reports or in the reporting of financial disclosures are to be noted here. Appropriate references and attachments are to be used as necessary. Space is provided below or you may use a separate worksheet if necessary</t>
  </si>
  <si>
    <t>Meets contractual requirement?</t>
  </si>
  <si>
    <r>
      <t>Insolvency Reserve Requirement</t>
    </r>
    <r>
      <rPr>
        <sz val="10"/>
        <rFont val="Arial"/>
        <family val="2"/>
      </rPr>
      <t xml:space="preserve"> (Based on 45 Days of Medical Expenses)</t>
    </r>
  </si>
  <si>
    <t>Financial Ratios (Projected)</t>
  </si>
  <si>
    <t>Purpose</t>
  </si>
  <si>
    <t>Incorporate adjustments to prior data in the current reporting period. Information about any adjustments that pertain to prior periods shall be explained in a note to the reports. However, if there was material error in preparation of the prior period report, a revised report shall be submitted.</t>
  </si>
  <si>
    <t>Unanswered questions or blank lines on any report or schedule will render the report or schedule incomplete and may result in a resubmission request. Any resubmission must be clearly identified as such. If no answers or entries are to be made, write “None”, “Not Applicable (N/A)”, or “-0-” in the space provided. Always use predefined categories or classifications before reporting an amount as “Other”.</t>
  </si>
  <si>
    <t>All premium revenue paid to the SCO reported on lines 0001, 0002, 0003 and 0004.</t>
  </si>
  <si>
    <t>All other revenue reported in lines 0006, 0007, 0008, 0009 and 0010.</t>
  </si>
  <si>
    <t>Total revenue (the sum of lines 0005 and 0011).</t>
  </si>
  <si>
    <t xml:space="preserve">Quarter </t>
  </si>
  <si>
    <t>Due date</t>
  </si>
  <si>
    <t>Enrollment</t>
  </si>
  <si>
    <t xml:space="preserve">Total </t>
  </si>
  <si>
    <t>Dental</t>
  </si>
  <si>
    <t>Medical</t>
  </si>
  <si>
    <t>Outpatient</t>
  </si>
  <si>
    <t>Inpatient</t>
  </si>
  <si>
    <t>Total</t>
  </si>
  <si>
    <t xml:space="preserve">Dental </t>
  </si>
  <si>
    <t>Periods of service</t>
  </si>
  <si>
    <t>Other Revenue - Medicaid</t>
  </si>
  <si>
    <t>Other Revenue - Medicare</t>
  </si>
  <si>
    <t>Total Medicare Premiums</t>
  </si>
  <si>
    <t>Total Medicaid Premiums</t>
  </si>
  <si>
    <t>Medicare Part D (Prescription Drug)</t>
  </si>
  <si>
    <t>Medicare Part D (LICS &amp; Reinsurance)</t>
  </si>
  <si>
    <t>Total Member Months</t>
  </si>
  <si>
    <t>PMPM</t>
  </si>
  <si>
    <t xml:space="preserve">For the reporting period </t>
  </si>
  <si>
    <t>Admits</t>
  </si>
  <si>
    <t>Days/Visits/Quantity</t>
  </si>
  <si>
    <t>Total Expense</t>
  </si>
  <si>
    <t>Admits per 1000</t>
  </si>
  <si>
    <t>Average Length of Stay</t>
  </si>
  <si>
    <t>Days/Visits per 1000</t>
  </si>
  <si>
    <t>Average Cost per Day/Visit</t>
  </si>
  <si>
    <t>Utilization</t>
  </si>
  <si>
    <t>All Rating Categories</t>
  </si>
  <si>
    <t>Line</t>
  </si>
  <si>
    <t>#</t>
  </si>
  <si>
    <t>Laboratory, Radiology, Testing</t>
  </si>
  <si>
    <t>Institutional Long Term Care</t>
  </si>
  <si>
    <t>Hospice</t>
  </si>
  <si>
    <t>Care Management</t>
  </si>
  <si>
    <t>HEALTH CARE CATEGORIES OF SERVICE</t>
  </si>
  <si>
    <t>Medicare Part A (Hospital)/Part B (Medical)</t>
  </si>
  <si>
    <t>Professional</t>
  </si>
  <si>
    <t>EXPENSE</t>
  </si>
  <si>
    <t>Vision</t>
  </si>
  <si>
    <t>Line - Definition</t>
  </si>
  <si>
    <t>Financial Line - Form Display</t>
  </si>
  <si>
    <t>Therapy</t>
  </si>
  <si>
    <t>Medical Equipment</t>
  </si>
  <si>
    <t>Health Care Quality Improvements</t>
  </si>
  <si>
    <t>Reinsurance Expenses/Recoveries</t>
  </si>
  <si>
    <t>Individual evaluation and treatment of physical, occupational, and speech/hearing or other assistive technology device, comprehensive evaluation, and group therapy.</t>
  </si>
  <si>
    <t>IBNR</t>
  </si>
  <si>
    <t>Provide a certification by your health plan's Chief Financial Officer that the experience reported in this Financial Reporting Template is accurate and that any assumptions are reasonable.</t>
  </si>
  <si>
    <t xml:space="preserve">Medical Categories of Service </t>
  </si>
  <si>
    <t>SCO product line financial requirements are calculated in this schedule as defined in Appendix D of the SCO Contract.</t>
  </si>
  <si>
    <t>Paid Claims</t>
  </si>
  <si>
    <t>Medical Adjustments</t>
  </si>
  <si>
    <t>Final Incurred</t>
  </si>
  <si>
    <t>Non-Medical</t>
  </si>
  <si>
    <t>Notes for Medical Adjustments:</t>
  </si>
  <si>
    <t>Column Descriptions</t>
  </si>
  <si>
    <t>Medicare Paid</t>
  </si>
  <si>
    <t>Medicaid Paid</t>
  </si>
  <si>
    <t>Reinsurance</t>
  </si>
  <si>
    <t>Management Fees</t>
  </si>
  <si>
    <t>Compensation</t>
  </si>
  <si>
    <t>Medicare YTD Total</t>
  </si>
  <si>
    <t>Dual Eligible</t>
  </si>
  <si>
    <t>Medicaid Only</t>
  </si>
  <si>
    <t>Medicaid YTD Total</t>
  </si>
  <si>
    <t>Reporting Period</t>
  </si>
  <si>
    <t>TOTAL $ YTD</t>
  </si>
  <si>
    <t>Medicare</t>
  </si>
  <si>
    <t>Medicaid</t>
  </si>
  <si>
    <t>Payor</t>
  </si>
  <si>
    <t>Grand Total $'s</t>
  </si>
  <si>
    <t>Line #</t>
  </si>
  <si>
    <t>Institutional (All: Tier 1, Tier 2 and Tier 3)</t>
  </si>
  <si>
    <t>Community NHC</t>
  </si>
  <si>
    <t>Community AD/CMI</t>
  </si>
  <si>
    <t>Community Other</t>
  </si>
  <si>
    <t>Prepared by:</t>
  </si>
  <si>
    <t>Statement as of:</t>
  </si>
  <si>
    <t xml:space="preserve">Provider Name:  </t>
  </si>
  <si>
    <t>Institutional (All Tiers)</t>
  </si>
  <si>
    <t>Medicaid Only Enrollments</t>
  </si>
  <si>
    <t>Dual Enrollments</t>
  </si>
  <si>
    <t>Total Member Months for Period</t>
  </si>
  <si>
    <t>Hospital Inpatient</t>
  </si>
  <si>
    <t>Behavioral Health (BH) Hospital Inpatient</t>
  </si>
  <si>
    <t>Hospital Outpatient</t>
  </si>
  <si>
    <t>Behavioral Health (BH) Hospital Outpatient</t>
  </si>
  <si>
    <t>Transportation</t>
  </si>
  <si>
    <t>Other Miscellaneous</t>
  </si>
  <si>
    <t xml:space="preserve">Rating Category Definitions </t>
  </si>
  <si>
    <t>Rating Category</t>
  </si>
  <si>
    <t>Rate Cell</t>
  </si>
  <si>
    <t>Dual Status</t>
  </si>
  <si>
    <t>Description</t>
  </si>
  <si>
    <t>CND</t>
  </si>
  <si>
    <t>All enrollees residing in the community who are limited in two or more activities of daily living (ADLs) and have a skilled nursing need three or more times per week, as recorded through the minimum data set/home care (MDS/HC) form and approved by EOHHS.</t>
  </si>
  <si>
    <t>TND</t>
  </si>
  <si>
    <t>CNM</t>
  </si>
  <si>
    <t>This RC also includes individuals who are in the first three months of a nursing facility (NF), skilled nursing facility and/or institutionalized hospice setting.</t>
  </si>
  <si>
    <t>TNM</t>
  </si>
  <si>
    <t>Institutional — Tier 1</t>
  </si>
  <si>
    <t>I1D</t>
  </si>
  <si>
    <t>All enrollees with more than a three month consecutive stay in an institutional long-term care (LTC) setting who continue to reside in a NF and are classified into Management Minute Categories (MMC) level H, J, or K.</t>
  </si>
  <si>
    <t>TCD</t>
  </si>
  <si>
    <t>I1M</t>
  </si>
  <si>
    <t>This RC also includes individuals who are in their first three months in a community setting following a discharge from a NF after a stay lasting more than three months.</t>
  </si>
  <si>
    <t>TCM</t>
  </si>
  <si>
    <t>Institutional — Tier 2</t>
  </si>
  <si>
    <t>I2D</t>
  </si>
  <si>
    <t>All enrollees with more than a three month consecutive stay in an institutional LTC setting who continue to reside in a NF and are classified into MMC level L, M, N, P, R, or S.</t>
  </si>
  <si>
    <t>I2M</t>
  </si>
  <si>
    <t>This RC also includes individuals who have resided in a NF for more than three months and who have elected hospice.</t>
  </si>
  <si>
    <t>Institutional — Tier 3</t>
  </si>
  <si>
    <t>I3D</t>
  </si>
  <si>
    <t>All enrollees with more than a three month consecutive stay in an institutional LTC setting who continue to reside in a NF and are classified into MMC level T.</t>
  </si>
  <si>
    <t>I3M</t>
  </si>
  <si>
    <t>MLR Calculation Allowable Expense</t>
  </si>
  <si>
    <t>Administrative cost and training fees related to care coordination provided by a licensed clinical staff, GSSC, ASAP or other delegated subcontractor.</t>
  </si>
  <si>
    <t>Provide quarterly data related to cost for the Massachusetts SCO population by rating category, region, and dual status split between Medicaid and Medicare.</t>
  </si>
  <si>
    <t>Fraud Reduction Recoveries</t>
  </si>
  <si>
    <t>Lesser of Fraud Reduction Recoveries or Expense</t>
  </si>
  <si>
    <t>Fraud Reduction Expenses</t>
  </si>
  <si>
    <t>Other Fraud, Waste, and Abuse Activities</t>
  </si>
  <si>
    <t>Report Submission Type:  Quarterly</t>
  </si>
  <si>
    <t xml:space="preserve">Medicare Paid </t>
  </si>
  <si>
    <t xml:space="preserve">Medicaid Paid </t>
  </si>
  <si>
    <t>Final Incurred* Should tie to Income Statement</t>
  </si>
  <si>
    <t xml:space="preserve">Reinsurance </t>
  </si>
  <si>
    <t>MEDICAL EXPENSES</t>
  </si>
  <si>
    <t>Medical Expenses (inclusive of IBNR)</t>
  </si>
  <si>
    <t>Recoveries for fraud reduction. Enter recoveries as negative. Do not include fraud recoveries in medical expenses categories above.</t>
  </si>
  <si>
    <t>Administrative activities related to health care quality assurance and improvements.</t>
  </si>
  <si>
    <t>Occupancy, Depreciation, and Amortization</t>
  </si>
  <si>
    <t>Report interest on loans, incurred during the period.</t>
  </si>
  <si>
    <t>Education/Outreach and Marketing</t>
  </si>
  <si>
    <t>Affiliate Administration Services</t>
  </si>
  <si>
    <t>Administrative expenses for program integrity activities other than fraud reduction.</t>
  </si>
  <si>
    <t>Subcontracted/Delegated Administrative Services</t>
  </si>
  <si>
    <t>Administrative portion of other delegated administrative expenses.</t>
  </si>
  <si>
    <t>Other Administration Expenses</t>
  </si>
  <si>
    <t>The professional care of the eyes for purposes of diagnosing and treating all pathological conditions. Includes eye examinations, vision training, prescriptions, and glasses and contact lenses.</t>
  </si>
  <si>
    <t>Include services for providing emergent and non-emergent medical transportation.</t>
  </si>
  <si>
    <t>Include hospice benefit package of services such as nursing; medical social services; physician; counseling, including bereavement, dietary, spiritual, or other types of counseling; physical, occupational, and speech language therapy; homemaker/home health aid; medical supplies.</t>
  </si>
  <si>
    <t>Care Management (External)</t>
  </si>
  <si>
    <t>Cash and cash equivalents</t>
  </si>
  <si>
    <t>Short-term Investments</t>
  </si>
  <si>
    <t>Interest Receivable</t>
  </si>
  <si>
    <t>Medicaid Reinsurance Recovery Receivable</t>
  </si>
  <si>
    <t>Escrow Account Balance</t>
  </si>
  <si>
    <t>Amounts Due from Affiliates</t>
  </si>
  <si>
    <t>Loan Escrow</t>
  </si>
  <si>
    <t>Long-Term Investments</t>
  </si>
  <si>
    <t>Intangible Investments and Goodwill</t>
  </si>
  <si>
    <t>Restricted Assets</t>
  </si>
  <si>
    <t>Aggregate Write-Ins for Other Assets</t>
  </si>
  <si>
    <t>Land</t>
  </si>
  <si>
    <t>Building and Improvements</t>
  </si>
  <si>
    <t>Construction In Progress</t>
  </si>
  <si>
    <t>Furniture and Equipment</t>
  </si>
  <si>
    <t>Leasehold Improvements</t>
  </si>
  <si>
    <t>Aggregate Write-Ins for Other Equipment</t>
  </si>
  <si>
    <t>Claims Payable</t>
  </si>
  <si>
    <t>Accrued Inpatient Claims (Not Reported)</t>
  </si>
  <si>
    <t>Accrued Physician Claims (Not Reported)</t>
  </si>
  <si>
    <t>Accrued Referral Claims (Not Reported)</t>
  </si>
  <si>
    <t>Accrued Other Medical</t>
  </si>
  <si>
    <t>Accrued Medical Incentive Pool</t>
  </si>
  <si>
    <t>Loans and Notes Payable</t>
  </si>
  <si>
    <t>Aggregate Write-Ins for Current Liabilities</t>
  </si>
  <si>
    <t>Loans and Notes</t>
  </si>
  <si>
    <t>Amounts Due to Affiliates</t>
  </si>
  <si>
    <t>Donated Capital</t>
  </si>
  <si>
    <t>Retained Earnings (Deficit)</t>
  </si>
  <si>
    <t>Paid In Surplus</t>
  </si>
  <si>
    <t>Contingent Reserve Requirement</t>
  </si>
  <si>
    <t>Unassigned Surplus</t>
  </si>
  <si>
    <t>Patient Contribution to Care</t>
  </si>
  <si>
    <t>Long Term</t>
  </si>
  <si>
    <t>Provide quarterly data related to assets, liabilities and net worth for the Massachusetts SCO population in aggregate.</t>
  </si>
  <si>
    <t>Interest earned but not yet received.</t>
  </si>
  <si>
    <t>Accrued reinsurance receivable amounts due to contractual agreements with reinsurance contractors, if applicable.</t>
  </si>
  <si>
    <t>Paid expenses for future periods.</t>
  </si>
  <si>
    <t>The total of all write-ins for current assets.</t>
  </si>
  <si>
    <t>Amounts in Escrow Accounts.</t>
  </si>
  <si>
    <t>Amounts due from Loan Escrow.</t>
  </si>
  <si>
    <t>Gross Value of Intangible Investments and Goodwill.</t>
  </si>
  <si>
    <t>The total of all write-ins for other assets.</t>
  </si>
  <si>
    <t>Capitalized improvements to facilities not owned by the Contractor.</t>
  </si>
  <si>
    <t>The total of all depreciation and amortization accounts relating to the various fixed asset accounts.</t>
  </si>
  <si>
    <t>Total of Current Assets, Other Assets, and Net Property and Equipment.</t>
  </si>
  <si>
    <t>Amounts due to creditors for the acquisition of goods and services (trade and administrative vendors) on a credit basis. Exclude amounts due to providers related to the delivery of health care services.</t>
  </si>
  <si>
    <t>Estimated unreported inpatient claims. Exclude RBUCs.</t>
  </si>
  <si>
    <t>Estimated unreported physician claims. Exclude RBUCs.</t>
  </si>
  <si>
    <t>Estimated other medical expenses.</t>
  </si>
  <si>
    <t>Premiums paid to health plan for future periods of coverage.</t>
  </si>
  <si>
    <t>Show current liabilities not included in other current liability categories.</t>
  </si>
  <si>
    <t>Total of Current Liability Categories (Lines 0032-0044).</t>
  </si>
  <si>
    <r>
      <t xml:space="preserve">Current amounts due to parent of subsidiary affiliate entities. </t>
    </r>
    <r>
      <rPr>
        <b/>
        <sz val="10"/>
        <color rgb="FFFF0000"/>
        <rFont val="Arial"/>
        <family val="2"/>
      </rPr>
      <t>Amounts of $100,000 or greater, individually or in aggregate must provide a detailed explanation in the notes to the financial reports.</t>
    </r>
  </si>
  <si>
    <t>Show other liabilities of long-term nature.</t>
  </si>
  <si>
    <t>Total of Other Liability.</t>
  </si>
  <si>
    <t>Total of Current Liabilities and Other Liabilities.</t>
  </si>
  <si>
    <r>
      <t xml:space="preserve">Capital donated to the SCO entity. </t>
    </r>
    <r>
      <rPr>
        <b/>
        <sz val="10"/>
        <color rgb="FFFF0000"/>
        <rFont val="Arial"/>
        <family val="2"/>
      </rPr>
      <t>Describe the nature of donation as well as any restrictions on this capital in the Notes to Financial Statements.</t>
    </r>
  </si>
  <si>
    <t>Cumulative earnings or deficit from operations, net of reserves and restricted funds.</t>
  </si>
  <si>
    <t>This line should be the gross amount of paid in and contributed surplus without reduction for commissions or other expenses in connection with such transactions, but reduced by a distribution declared and paid as a return of such surplus. Also, the amount reflects the amounts paid and contributed in excess of the par or stated values of shares issued.</t>
  </si>
  <si>
    <t>Include the undistributed and unappropriated amount of earned surplus. Beginning retained earnings for a new fiscal year (FY) should remain constant during the FY.</t>
  </si>
  <si>
    <t>Medicaid only and Medicaid dual revenue received from (EOHHS) to cover community and institutional services for SCO enrollees.</t>
  </si>
  <si>
    <t>Other Medicaid revenue paid by EOHHS to the SCO in addition to capitation for covered services that is not included in Line 0001.</t>
  </si>
  <si>
    <t>Other Medicare revenue paid by CMS to the SCO in addition to capitation for covered services that is not included in Line 0002.</t>
  </si>
  <si>
    <t>Revenue recognized during the reporting period for Patient Contributions to Care received from the SCO enrollees.</t>
  </si>
  <si>
    <t>Refer to Medical Services Definitions Tab.</t>
  </si>
  <si>
    <t>Expenses related to events where DMAHS finds the contractor to be out of compliance with the program standards, performance standards, or the terms and conditions of the Medicaid managed care contract.</t>
  </si>
  <si>
    <t>Expenses incurred to reduce fraud and recover improper payments due to fraud.</t>
  </si>
  <si>
    <t>Enter beginning cash balance for Q1 of the reporting year.</t>
  </si>
  <si>
    <t>Paid claims expenses that are the responsibility of Medicare.</t>
  </si>
  <si>
    <t>Paid claims expenses that are the responsibility of Medicaid.</t>
  </si>
  <si>
    <t>IBNR (Incurred But Not Reported) represents the estimated liability for claims that are anticipated but have not been reported to the health plan as of the financial date and the liability for claims reported but unpaid as of the financial date.</t>
  </si>
  <si>
    <t>Non-Medical includes other non-claims medical cost incurred for a specific set of SCO covered services.</t>
  </si>
  <si>
    <t>Reinsurance – includes reinsurance expenses and recoveries.</t>
  </si>
  <si>
    <t>SCO product line financial indicators are calculated in this schedule as defined in Appendix D of the SCO Contract.</t>
  </si>
  <si>
    <t>Reported but unpaid claims (RBUCs). Exclude unreported claims.</t>
  </si>
  <si>
    <t>Expenses incurred for education and outreach activities for enrollees. Expenses directly related to marketing activities including advertising, printing, marketing salaries and fringe benefits, commissions, broker fees, travel, occupancy, enrollment brokers, and other expenses allocated to the SCO marketing activity.</t>
  </si>
  <si>
    <r>
      <t>All expenses for management fees, and other corporate allocations associated with services provided by non-affiliates. Do not include expenses for services provided by parent organization or affiliates.</t>
    </r>
    <r>
      <rPr>
        <sz val="10"/>
        <color rgb="FFFF0000"/>
        <rFont val="Arial"/>
        <family val="2"/>
      </rPr>
      <t xml:space="preserve"> </t>
    </r>
    <r>
      <rPr>
        <b/>
        <sz val="10"/>
        <color rgb="FFFF0000"/>
        <rFont val="Arial"/>
        <family val="2"/>
      </rPr>
      <t>Provide an explanation of the expenses included and the basis of methodology in the notes to the financial reports.</t>
    </r>
  </si>
  <si>
    <t>Total Medical Expenses</t>
  </si>
  <si>
    <t>Total MLR Calculation Allowable Expenses</t>
  </si>
  <si>
    <t>Administrative Expenses</t>
  </si>
  <si>
    <t>Total Administrative Expenses</t>
  </si>
  <si>
    <t>Increase (Decrease) in Temp Restricted Net Assets</t>
  </si>
  <si>
    <t>Covered Service</t>
  </si>
  <si>
    <t>Medicare Primary</t>
  </si>
  <si>
    <t>Medicaid Primary</t>
  </si>
  <si>
    <t>Coding Changes (Adds/Changes/ Remove)</t>
  </si>
  <si>
    <t xml:space="preserve">Procedure Code/Bill Type </t>
  </si>
  <si>
    <t>Adult Day Health</t>
  </si>
  <si>
    <t>X</t>
  </si>
  <si>
    <t>S5100, S5102</t>
  </si>
  <si>
    <t>Adult Foster Care</t>
  </si>
  <si>
    <t>Ambulance</t>
  </si>
  <si>
    <t>A0425-A0436</t>
  </si>
  <si>
    <t>Ambulatory Surgery</t>
  </si>
  <si>
    <t>10021-69999</t>
  </si>
  <si>
    <t>Anesthesia</t>
  </si>
  <si>
    <t>00100-01999</t>
  </si>
  <si>
    <t xml:space="preserve">011X-Hospital Inpatient (Part A)              012X-Hospital Inpatient Part B  </t>
  </si>
  <si>
    <t>Behavioral Health Diversionary Services</t>
  </si>
  <si>
    <t>S9484-S9485</t>
  </si>
  <si>
    <t>H0035, S0201</t>
  </si>
  <si>
    <t>H2012</t>
  </si>
  <si>
    <t>H0015</t>
  </si>
  <si>
    <t>98940-98943</t>
  </si>
  <si>
    <t xml:space="preserve">Community Based Services </t>
  </si>
  <si>
    <t>99495-99496</t>
  </si>
  <si>
    <t>S5135, S5136</t>
  </si>
  <si>
    <t>S5170</t>
  </si>
  <si>
    <t>S5175</t>
  </si>
  <si>
    <t>S5165</t>
  </si>
  <si>
    <t>Day Habilitation</t>
  </si>
  <si>
    <t>D0100-D9999</t>
  </si>
  <si>
    <t>Renal Dialysis Services</t>
  </si>
  <si>
    <t xml:space="preserve">Durable Medical Equipment </t>
  </si>
  <si>
    <t>DME-Medicare Covered</t>
  </si>
  <si>
    <t>DME-Medicaid Covered</t>
  </si>
  <si>
    <t>Oxygen and Respiratory Therapy Equipment</t>
  </si>
  <si>
    <t>Hearing Aid Services</t>
  </si>
  <si>
    <t>Not Covered by Medicare</t>
  </si>
  <si>
    <t>Medicaid coverage more expansive</t>
  </si>
  <si>
    <t>Home Health</t>
  </si>
  <si>
    <t>Inpatient Hospital</t>
  </si>
  <si>
    <r>
      <t>·</t>
    </r>
    <r>
      <rPr>
        <sz val="7"/>
        <color rgb="FF000000"/>
        <rFont val="Times New Roman"/>
        <family val="1"/>
      </rPr>
      <t xml:space="preserve">         </t>
    </r>
    <r>
      <rPr>
        <sz val="10"/>
        <color rgb="FF000000"/>
        <rFont val="Arial"/>
        <family val="2"/>
      </rPr>
      <t>ACUTE INPATIENT HOSPITAL (70)</t>
    </r>
  </si>
  <si>
    <t>*See above</t>
  </si>
  <si>
    <r>
      <t>·</t>
    </r>
    <r>
      <rPr>
        <sz val="7"/>
        <color rgb="FF000000"/>
        <rFont val="Times New Roman"/>
        <family val="1"/>
      </rPr>
      <t xml:space="preserve">         </t>
    </r>
    <r>
      <rPr>
        <sz val="10"/>
        <color rgb="FF000000"/>
        <rFont val="Arial"/>
        <family val="2"/>
      </rPr>
      <t>CHRONIC INPATIENT HOSPITAL (71)</t>
    </r>
  </si>
  <si>
    <r>
      <t>·</t>
    </r>
    <r>
      <rPr>
        <sz val="7"/>
        <color rgb="FF000000"/>
        <rFont val="Times New Roman"/>
        <family val="1"/>
      </rPr>
      <t xml:space="preserve">         </t>
    </r>
    <r>
      <rPr>
        <sz val="10"/>
        <color rgb="FF000000"/>
        <rFont val="Arial"/>
        <family val="2"/>
      </rPr>
      <t>PSYCHIATRIC INPATIENT HOSPITAL (73)</t>
    </r>
  </si>
  <si>
    <r>
      <t>·</t>
    </r>
    <r>
      <rPr>
        <sz val="7"/>
        <color rgb="FF000000"/>
        <rFont val="Times New Roman"/>
        <family val="1"/>
      </rPr>
      <t xml:space="preserve">         </t>
    </r>
    <r>
      <rPr>
        <sz val="10"/>
        <color rgb="FF000000"/>
        <rFont val="Arial"/>
        <family val="2"/>
      </rPr>
      <t>SEMI-ACUTE INPATIENT HOSPITAL (74)</t>
    </r>
  </si>
  <si>
    <t>Medicaid includes long-term care and custodial care; No hospital stay requirement prior to coverage.</t>
  </si>
  <si>
    <t>Laboratory</t>
  </si>
  <si>
    <t>80047-89999</t>
  </si>
  <si>
    <t>Orthotics</t>
  </si>
  <si>
    <t>Physician (All: Primary &amp; Specialty)</t>
  </si>
  <si>
    <t>Audiologist</t>
  </si>
  <si>
    <t>92550-92700</t>
  </si>
  <si>
    <t>Podiatry</t>
  </si>
  <si>
    <t>Private Duty Nursing</t>
  </si>
  <si>
    <t>T1000</t>
  </si>
  <si>
    <t>Radiology and Diagnostic Tests</t>
  </si>
  <si>
    <t>Therapies</t>
  </si>
  <si>
    <t>92002-92287, V2100-V2799</t>
  </si>
  <si>
    <t>Line titles and columnar headings of the various reports are, in general, self-explanatory. Specific instructions are provided for items that may have some question as to content. Any entry for which no specific instructions are included shall be made in accordance with sound accounting principles and in a manner consistent with related items covered by specific instructions.</t>
  </si>
  <si>
    <t>Dollar amounts shall be reported to the nearest dollar. Per member per month (PMPM) amounts, however, shall be shown with two digits to the right of the decimal point.</t>
  </si>
  <si>
    <t>Additional sheets referencing the applicable reports must be attached for further explanation. The contractor shall use “Notes” for additional write-ins, explanations, or supplemental data.</t>
  </si>
  <si>
    <t>Cells highlighted in orange are to be completed by the SCO. Cells highlighted in yellow are formula driven and do not require data input. All information requested is for Massachusetts SCO enrollment only. If there is an issue with the formula within the template please correct and notify the program.</t>
  </si>
  <si>
    <t>Column D,F,H,J</t>
  </si>
  <si>
    <t>Column E,G,I,K</t>
  </si>
  <si>
    <t>Column L</t>
  </si>
  <si>
    <t>Boston</t>
  </si>
  <si>
    <t>Non-Boston</t>
  </si>
  <si>
    <t>Medicaid Only Member Months during the reporting period, by rating category. A member month is equivalent to one person for whom your plan has recognized a MassHealth SCO capitation payment for a month during the reporting period.</t>
  </si>
  <si>
    <t>Dual Eligible Member Months during the reporting period, by rating category. A member month is equivalent to one person for whom your plan has recognized a MassHealth SCO capitation payment for a month during the reporting period.</t>
  </si>
  <si>
    <t>Total member months relevant to region categories (Boston/Non Boston). A member month is equivalent to one person for whom the plan has recognized a MassHealth SCO capitation payment for a month during the reporting period (the sum of Column D through Column K).</t>
  </si>
  <si>
    <t>Provide quarterly Member Months for the Massachusetts SCO population by rating category and dual status for Boston membership.</t>
  </si>
  <si>
    <t>Provide quarterly Member Months for the Massachusetts SCO population by rating category and dual status for non-Boston membership.</t>
  </si>
  <si>
    <t>Provide quarterly Member Months for the Massachusetts SCO population by rating category and dual status for all region membership.</t>
  </si>
  <si>
    <t>Premium Receivable - net</t>
  </si>
  <si>
    <t>Aggregate Write-Ins For Other Net Worth items</t>
  </si>
  <si>
    <t>Total of Current Assets (lines 0001-0010).</t>
  </si>
  <si>
    <t>Total of Other Assets (lines 0012-0020).</t>
  </si>
  <si>
    <t>Total of Property and Equipment Categories (lines 0022-0029).</t>
  </si>
  <si>
    <t>Enter amounts attributable to current projects under construction, where the asset has not yet been placed into service. Amounts of $100,000 or greater, individually or in aggregate must provide a detailed explanation in the notes to the financial reports.</t>
  </si>
  <si>
    <t>Contractually required capital reserves.</t>
  </si>
  <si>
    <t>Show net worth items not included in other net worth categories.</t>
  </si>
  <si>
    <t>Sum of Total Liabilities and Total Net Worth Excluding Non-Admitted Assets (Lines 0053 and 0063).</t>
  </si>
  <si>
    <t>Total Assets minus Total Liabilities (line 0031 minus line 0053).</t>
  </si>
  <si>
    <t>Sum of Total Liabilities and Total Net Worth Included Non-Admitted Assets (Lines 0053 and 0065).</t>
  </si>
  <si>
    <t>Hospital-based or other inpatient facility services, which primarily provides diagnostic, therapeutic (both surgical and nonsurgical), and rehabilitation services by, or under, the supervision of physicians to patients admitted for a variety of reasons and receives inpatient room, board and professional services in the facility for a 24 hour period or longer. Exclude, BH, SNF and ICF services furnished by a hospital with a swing-bed approval.</t>
  </si>
  <si>
    <t>BH facility based services provided for mental health or substance abuse diagnoses and treatment.</t>
  </si>
  <si>
    <t>Preventive, diagnostic, therapeutic, rehabilitative, or palliative hospital-based facility, institution, clinic and emergency services provided in an outpatient ambulatory care setting for less than a 24-hour period regardless of the hour of admission, whether or not a bed is used, or whether or not the patient remains in the facility past midnight.</t>
  </si>
  <si>
    <t>BH facility based services provided in an ambulatory care setting, such as a mental health or substance abuse clinic, hospital outpatient department, community health center, or provider's office.</t>
  </si>
  <si>
    <t>These are case/care management related services provided by a licensed clinical staff, GSSC or ASAP contract, excluding all administration and training fees related to care management.</t>
  </si>
  <si>
    <t>Care Management (Internal/Administrative)</t>
  </si>
  <si>
    <t>Qtr</t>
  </si>
  <si>
    <t xml:space="preserve">Medical Capitation </t>
  </si>
  <si>
    <t>Region</t>
  </si>
  <si>
    <t>Totals</t>
  </si>
  <si>
    <t xml:space="preserve">. . . Month in Which Service Provided . . . </t>
  </si>
  <si>
    <t>Month of payment</t>
  </si>
  <si>
    <t>Total Paid by  Month</t>
  </si>
  <si>
    <t>Pharmacy Rebates</t>
  </si>
  <si>
    <t>Current Estimate of Remaining Liability (Claims Incurred But Not Reported)</t>
  </si>
  <si>
    <t>An estimate of incurred but not reported medical claims, divided into Inpatient, Outpatient, Physician, Pharmacy, and Other Payments.</t>
  </si>
  <si>
    <r>
      <t xml:space="preserve">Provide SCO member months for the reporting period. </t>
    </r>
    <r>
      <rPr>
        <b/>
        <sz val="10"/>
        <color rgb="FFFF0000"/>
        <rFont val="Arial"/>
        <family val="2"/>
      </rPr>
      <t xml:space="preserve">Partial member months should be reported as a fraction. Calculate partial months of eligibility by dividing the eligible number of days by 30 for members that lose eligibility during the month.  </t>
    </r>
  </si>
  <si>
    <t>Expense Category</t>
  </si>
  <si>
    <t>*If a due date falls on a weekend or a State recognized holiday, reports will be due the following business day.</t>
  </si>
  <si>
    <t>Months Before 29th Prior Month</t>
  </si>
  <si>
    <t>Schedule 10</t>
  </si>
  <si>
    <t>Schedule 9</t>
  </si>
  <si>
    <t>Schedule 8</t>
  </si>
  <si>
    <t>Schedule 7</t>
  </si>
  <si>
    <t>Schedule 6</t>
  </si>
  <si>
    <t>Schedule 5</t>
  </si>
  <si>
    <t>Schedule 4</t>
  </si>
  <si>
    <t>Schedule 3</t>
  </si>
  <si>
    <t>Schedule 2</t>
  </si>
  <si>
    <t>Schedule 1</t>
  </si>
  <si>
    <t>Schedule 1: Enrollment (Restated Basis)</t>
  </si>
  <si>
    <t>Schedule 2: Balance Sheet (Reported Basis)</t>
  </si>
  <si>
    <t>Schedule 3A_Income Statement, Schedule 3B_Income_Boston (CINBN); Schedule 3C: Income_Non_Boston (COTBN or Other)
(Restated Basis)</t>
  </si>
  <si>
    <t>These Statements are on Both a Reported and Restated Basis</t>
  </si>
  <si>
    <t>This Report is on a Restated Basis</t>
  </si>
  <si>
    <t>This Report is on a Reported Basis</t>
  </si>
  <si>
    <t>60 days after the end of the reporting period</t>
  </si>
  <si>
    <t>Schedule 4: Footnotes</t>
  </si>
  <si>
    <t>Footnote 1</t>
  </si>
  <si>
    <t>Organizational Structure</t>
  </si>
  <si>
    <t>Footnote 2</t>
  </si>
  <si>
    <t>Summary of Significant Accounting Policies</t>
  </si>
  <si>
    <t>Discuss accounting policies related to significant items such as, but not limited to, cash and cash equivalents, investments, and medical claims payable. Specifically, the medical claims payable policy should discuss the methodology used in calculating incurred but not reported (IBNR) balances ultimately affecting the cost reports.
Discuss revenue and expense recognition policies for significant items such as, but not limited to, capitation revenue, patient liability from members, reinsurance, medical expenses, case management, administrative expenses, and pay for performance arrangements. Also, discuss any changes in accounting methodologies, which have taken place during the current contract year.</t>
  </si>
  <si>
    <t>Footnote 3</t>
  </si>
  <si>
    <t>Other Amounts</t>
  </si>
  <si>
    <t>Footnote 4</t>
  </si>
  <si>
    <t>Pledges, Assignments, and Guarantees</t>
  </si>
  <si>
    <t>Describe any pledges, assignments, collateralized assets, and any guaranteed liabilities not disclosed on the balance sheet.</t>
  </si>
  <si>
    <t>Footnote 5</t>
  </si>
  <si>
    <t>Statutory Deposits or Performance Bonds</t>
  </si>
  <si>
    <t>Footnote 6</t>
  </si>
  <si>
    <t>Material Adjustments</t>
  </si>
  <si>
    <t>Disclose and describe any material adjustments made during the current reporting period. Include those adjustments that may relate to a prior period, specifically IBNR adjustments, that affect the cost reports and provide detail for which period(s) the adjustment(s) relate. Also, include the cost report and line item where the impact of the adjustment was recorded.</t>
  </si>
  <si>
    <t>Footnote 7</t>
  </si>
  <si>
    <t>Claims Payable Analysis</t>
  </si>
  <si>
    <t>Explain large fluctuations and/or revisions in estimates and the factors that contributed to the change in the medical claims liability balance from the prior quarter. Specifically, address changes in IBNR claims and/or received but unpaid claims (RBUCs) of more than 10% (on a per member basis). Explanations should detail the amount of the adjustments by quarter by Region.</t>
  </si>
  <si>
    <t>Footnote 8</t>
  </si>
  <si>
    <t>Contingent Liabilities</t>
  </si>
  <si>
    <t>Provide details of any malpractice or other claims asserted against the contractor, as well as the status of the case, potential financial exposure, and expected resolution.</t>
  </si>
  <si>
    <t>Footnote 9</t>
  </si>
  <si>
    <t>Due to/from Affiliates (Current and Non-Current)</t>
  </si>
  <si>
    <t>Describe, in detail, the composition of the due to/from affiliates including the name of the affiliate, a description of the affiliation, amount due to/from the affiliate, and a description of any significant changes to the line item.</t>
  </si>
  <si>
    <t>Footnote 10</t>
  </si>
  <si>
    <t>Related Party Transaction Activities</t>
  </si>
  <si>
    <t>Disclose any significant transaction, either unique to the reporting period or on an ongoing basis, conducted with related parties. Include a copy of any related party agreements for both medical and administrative services.</t>
  </si>
  <si>
    <t>Footnote 11</t>
  </si>
  <si>
    <t>Equity Activity</t>
  </si>
  <si>
    <t>Disclose all activity in equity, other than net income or net loss.</t>
  </si>
  <si>
    <t>Footnote 12</t>
  </si>
  <si>
    <t>Non-Compliance with Financial Viability Standards and/or Performance Guidelines</t>
  </si>
  <si>
    <t>Disclose any non-compliance with financial viability standards and performance guidelines, the factors causing the non-compliance and the contractor’s action to resolve the issue(s). Refer to Appendix: Financial Viability Standards – Performance Guidelines.</t>
  </si>
  <si>
    <t>Footnote 13</t>
  </si>
  <si>
    <t>Interest on Late Claims</t>
  </si>
  <si>
    <t>Report interest payments made or amounts due to providers on late claims.</t>
  </si>
  <si>
    <t>Footnote 14</t>
  </si>
  <si>
    <t>Significant Changes in Provider Reimbursement Methodologies</t>
  </si>
  <si>
    <t>Footnote 15</t>
  </si>
  <si>
    <t>Describe the nature of any significant fluctuations for amounts reported in the lag reports. Include detail on which lag report the fluctuation is shown and the line item where it is reported.</t>
  </si>
  <si>
    <t>Footnote 16</t>
  </si>
  <si>
    <t>Pay for Performance Arrangements</t>
  </si>
  <si>
    <t>Footnote 17</t>
  </si>
  <si>
    <t>Premium Deficiency Reserves and Methodology</t>
  </si>
  <si>
    <t>Report the amounts of premium deficiency reserve at the end of the period and the methodology used in developing the balance.</t>
  </si>
  <si>
    <t>Footnote 18</t>
  </si>
  <si>
    <t>Discuss expense allocation methodologies by region and/or rate cell, which were utilized during the current reporting period. Include a description of the expense and the Income Statement line item number where it is reported.</t>
  </si>
  <si>
    <t>For the original submission of the SCO cost reports, all footnote items that apply are required. For subsequent quarters and annual reporting, only updates and/or changes to noted information and/or values are required.</t>
  </si>
  <si>
    <t>Schedule 5: Statement of Cash Flow (Reported Basis)</t>
  </si>
  <si>
    <t>Schedule 6: Medical Expense Summary (Restated Basis)</t>
  </si>
  <si>
    <t>Schedule 7: Utilization (Restated Basis)</t>
  </si>
  <si>
    <t>Schedule 8: Financial Indicators (Reported Basis)</t>
  </si>
  <si>
    <t>Schedule 9: Financial Solvency Requirements (Reported Basis)</t>
  </si>
  <si>
    <t>Schedule 12: Certification</t>
  </si>
  <si>
    <t>Schedule 11A: Lag Report - Physician, Schedule 11B: Lag Report - Inpatient, Schedule 11C: Lag Report - Outpatient, Schedule 11D: Lag Report - Pharmacy, Schedule 11E: Lag Report - Other 
(These Statements are on Both a Reported and Restated Basis)</t>
  </si>
  <si>
    <t>Quarterly financial footnote disclosures</t>
  </si>
  <si>
    <t>Mark as N/A if no changes have occurred</t>
  </si>
  <si>
    <t>Footnote disclosures</t>
  </si>
  <si>
    <r>
      <t xml:space="preserve">Medicaid COS: </t>
    </r>
    <r>
      <rPr>
        <sz val="11"/>
        <rFont val="Arial"/>
        <family val="2"/>
      </rPr>
      <t>Each line represents</t>
    </r>
    <r>
      <rPr>
        <sz val="11"/>
        <color rgb="FFFF0000"/>
        <rFont val="Arial"/>
        <family val="2"/>
      </rPr>
      <t xml:space="preserve"> </t>
    </r>
    <r>
      <rPr>
        <b/>
        <u/>
        <sz val="11"/>
        <color rgb="FFFF0000"/>
        <rFont val="Arial"/>
        <family val="2"/>
      </rPr>
      <t>a recommended</t>
    </r>
    <r>
      <rPr>
        <sz val="11"/>
        <rFont val="Arial"/>
        <family val="2"/>
      </rPr>
      <t xml:space="preserve"> UB04 Type of bill codes or CMS 1500 Physician Specialty codes to match provider descriptions from MassHealth. The UB04 OR CMS 1500 code range AND Diagnosis code ranges AND Revenue code ranges can be used to advise plans in mapping the template line COS. </t>
    </r>
    <r>
      <rPr>
        <b/>
        <u/>
        <sz val="11"/>
        <color rgb="FFFF0000"/>
        <rFont val="Arial"/>
        <family val="2"/>
      </rPr>
      <t>Plan discretion</t>
    </r>
    <r>
      <rPr>
        <b/>
        <u/>
        <sz val="11"/>
        <rFont val="Arial"/>
        <family val="2"/>
      </rPr>
      <t xml:space="preserve"> </t>
    </r>
    <r>
      <rPr>
        <b/>
        <u/>
        <sz val="11"/>
        <color rgb="FFFF0000"/>
        <rFont val="Arial"/>
        <family val="2"/>
      </rPr>
      <t>should be used</t>
    </r>
    <r>
      <rPr>
        <b/>
        <sz val="11"/>
        <color rgb="FFFF0000"/>
        <rFont val="Arial"/>
        <family val="2"/>
      </rPr>
      <t xml:space="preserve"> where specifications are not clear.  For most claims that contain multiple service lines assignable to more than one category of service, the plan should map the claim to the COS that reflects the primary reason for the encounter or which is the primary driver of the payment. If the encounter generates multiple claims requiring payments to different providers, then multiple encounters should be counted. I.E. Primary Care and Physician Specialist claims may include diagnostic tests provided during the visit. Even though a single payment covering all service lines may be made to the provider, the cost for the diagnostic tests should be reported under Laboratory, Radiology, Testing category while the professional component should be reported in the appropriate line of service.</t>
    </r>
  </si>
  <si>
    <t>Provider Descriptions for rendering providers (MassHealth Provider Type)</t>
  </si>
  <si>
    <t xml:space="preserve">(UB04 Type of Bill Code) </t>
  </si>
  <si>
    <t>CMS-1500 Physician Specialty Code</t>
  </si>
  <si>
    <t>Primary Diagnosis Code Ranges</t>
  </si>
  <si>
    <t>Revenue Code Ranges</t>
  </si>
  <si>
    <t>Financial Report Medical Expense Category</t>
  </si>
  <si>
    <t>IP-BH (11*)</t>
  </si>
  <si>
    <t>ICD 9: 290–31999</t>
  </si>
  <si>
    <t xml:space="preserve">Behavioral Health (BH) Hospital Inpatient </t>
  </si>
  <si>
    <t>ICD10: F01 – F99 (include all applicable digits)</t>
  </si>
  <si>
    <r>
      <t>·</t>
    </r>
    <r>
      <rPr>
        <sz val="7"/>
        <color rgb="FF000000"/>
        <rFont val="Times New Roman"/>
        <family val="1"/>
      </rPr>
      <t xml:space="preserve">         </t>
    </r>
    <r>
      <rPr>
        <sz val="10"/>
        <color rgb="FF000000"/>
        <rFont val="Arial"/>
        <family val="2"/>
      </rPr>
      <t>INTENSIVE RESIDENTIAL TREATMENT PROGRAM (IRTP) (76)</t>
    </r>
  </si>
  <si>
    <t>Inpatient Non-BH (11*)</t>
  </si>
  <si>
    <t>All others not in:</t>
  </si>
  <si>
    <t xml:space="preserve">Hospital Inpatient </t>
  </si>
  <si>
    <t>ICD 10: F01-F99</t>
  </si>
  <si>
    <r>
      <t>·</t>
    </r>
    <r>
      <rPr>
        <sz val="7"/>
        <color rgb="FF000000"/>
        <rFont val="Times New Roman"/>
        <family val="1"/>
      </rPr>
      <t xml:space="preserve">         </t>
    </r>
    <r>
      <rPr>
        <sz val="10"/>
        <color rgb="FF000000"/>
        <rFont val="Arial"/>
        <family val="2"/>
      </rPr>
      <t>LTC (NF or SNF)</t>
    </r>
  </si>
  <si>
    <t>(2**)</t>
  </si>
  <si>
    <t>A1–A3</t>
  </si>
  <si>
    <r>
      <t>·</t>
    </r>
    <r>
      <rPr>
        <sz val="7"/>
        <color rgb="FF000000"/>
        <rFont val="Times New Roman"/>
        <family val="1"/>
      </rPr>
      <t xml:space="preserve">         </t>
    </r>
    <r>
      <rPr>
        <sz val="10"/>
        <color rgb="FF000000"/>
        <rFont val="Arial"/>
        <family val="2"/>
      </rPr>
      <t>HOSPICE (69)</t>
    </r>
  </si>
  <si>
    <t>(81* or 82*)</t>
  </si>
  <si>
    <t>Outpatient Facility</t>
  </si>
  <si>
    <r>
      <t>·</t>
    </r>
    <r>
      <rPr>
        <sz val="7"/>
        <color rgb="FF000000"/>
        <rFont val="Times New Roman"/>
        <family val="1"/>
      </rPr>
      <t xml:space="preserve">         </t>
    </r>
    <r>
      <rPr>
        <sz val="10"/>
        <color rgb="FF000000"/>
        <rFont val="Arial"/>
        <family val="2"/>
      </rPr>
      <t>ACUTE OUTPATIENT HOSPITAL (80)</t>
    </r>
  </si>
  <si>
    <t>(13*, 14*,  18*)</t>
  </si>
  <si>
    <t>500, 509–519</t>
  </si>
  <si>
    <r>
      <t>·</t>
    </r>
    <r>
      <rPr>
        <sz val="7"/>
        <color rgb="FF000000"/>
        <rFont val="Times New Roman"/>
        <family val="1"/>
      </rPr>
      <t xml:space="preserve">         </t>
    </r>
    <r>
      <rPr>
        <sz val="10"/>
        <color rgb="FF000000"/>
        <rFont val="Arial"/>
        <family val="2"/>
      </rPr>
      <t>HOSPITAL LICENSED HEALTH CENTER (HLHC) (81)</t>
    </r>
  </si>
  <si>
    <r>
      <t>·</t>
    </r>
    <r>
      <rPr>
        <sz val="7"/>
        <color rgb="FF000000"/>
        <rFont val="Times New Roman"/>
        <family val="1"/>
      </rPr>
      <t xml:space="preserve">         </t>
    </r>
    <r>
      <rPr>
        <sz val="10"/>
        <color rgb="FF000000"/>
        <rFont val="Arial"/>
        <family val="2"/>
      </rPr>
      <t>CHRONIC OUTPATIENT HOSPITAL (82)</t>
    </r>
  </si>
  <si>
    <t>All Provider Types</t>
  </si>
  <si>
    <t>1000-1005</t>
  </si>
  <si>
    <t xml:space="preserve">Behavioral Health (BH) Hospital Outpatient </t>
  </si>
  <si>
    <r>
      <t>·</t>
    </r>
    <r>
      <rPr>
        <sz val="7"/>
        <color rgb="FF000000"/>
        <rFont val="Times New Roman"/>
        <family val="1"/>
      </rPr>
      <t xml:space="preserve">         </t>
    </r>
    <r>
      <rPr>
        <sz val="10"/>
        <color rgb="FF000000"/>
        <rFont val="Arial"/>
        <family val="2"/>
      </rPr>
      <t>SEMI-ACUTE OUTPATIENT HOSPITAL (75)</t>
    </r>
  </si>
  <si>
    <t>(13*, 14*, 18*)</t>
  </si>
  <si>
    <t xml:space="preserve">ICD 9: 290–31999 </t>
  </si>
  <si>
    <t>900–919</t>
  </si>
  <si>
    <r>
      <t>·</t>
    </r>
    <r>
      <rPr>
        <sz val="7"/>
        <color rgb="FF000000"/>
        <rFont val="Times New Roman"/>
        <family val="1"/>
      </rPr>
      <t xml:space="preserve">         </t>
    </r>
    <r>
      <rPr>
        <sz val="10"/>
        <color rgb="FF000000"/>
        <rFont val="Arial"/>
        <family val="2"/>
      </rPr>
      <t>ACUTE OUTPATIENT HOSPITAL(80)</t>
    </r>
  </si>
  <si>
    <t>ICD 10: F01 – F99 (include all applicable digits)</t>
  </si>
  <si>
    <r>
      <t>·</t>
    </r>
    <r>
      <rPr>
        <sz val="7"/>
        <color rgb="FF000000"/>
        <rFont val="Times New Roman"/>
        <family val="1"/>
      </rPr>
      <t xml:space="preserve">         </t>
    </r>
    <r>
      <rPr>
        <sz val="10"/>
        <color rgb="FF000000"/>
        <rFont val="Arial"/>
        <family val="2"/>
      </rPr>
      <t>PSYCHIATRIC OUTPATIENT HOSPITAL (83)</t>
    </r>
  </si>
  <si>
    <r>
      <t>·</t>
    </r>
    <r>
      <rPr>
        <sz val="7"/>
        <color rgb="FF000000"/>
        <rFont val="Times New Roman"/>
        <family val="1"/>
      </rPr>
      <t xml:space="preserve">         </t>
    </r>
    <r>
      <rPr>
        <sz val="10"/>
        <color rgb="FF000000"/>
        <rFont val="Arial"/>
        <family val="2"/>
      </rPr>
      <t>COMMUNITY HEALTH CENTER (CHC) (20)</t>
    </r>
  </si>
  <si>
    <t>All others not referenced above</t>
  </si>
  <si>
    <t>All others not reference above</t>
  </si>
  <si>
    <t xml:space="preserve">Hospital Outpatient </t>
  </si>
  <si>
    <r>
      <t>·</t>
    </r>
    <r>
      <rPr>
        <sz val="7"/>
        <color rgb="FF000000"/>
        <rFont val="Times New Roman"/>
        <family val="1"/>
      </rPr>
      <t xml:space="preserve">         </t>
    </r>
    <r>
      <rPr>
        <sz val="10"/>
        <color rgb="FF000000"/>
        <rFont val="Arial"/>
        <family val="2"/>
      </rPr>
      <t>AMBULATORY SURGERY CENTER (84)</t>
    </r>
  </si>
  <si>
    <t xml:space="preserve">Professional Services </t>
  </si>
  <si>
    <r>
      <t>·</t>
    </r>
    <r>
      <rPr>
        <sz val="7"/>
        <color rgb="FF000000"/>
        <rFont val="Times New Roman"/>
        <family val="1"/>
      </rPr>
      <t xml:space="preserve">         </t>
    </r>
    <r>
      <rPr>
        <sz val="10"/>
        <color rgb="FF000000"/>
        <rFont val="Arial"/>
        <family val="2"/>
      </rPr>
      <t>PHYSICIAN (01)</t>
    </r>
  </si>
  <si>
    <t>01–14, 16, 50</t>
  </si>
  <si>
    <r>
      <t>·</t>
    </r>
    <r>
      <rPr>
        <sz val="7"/>
        <color rgb="FF000000"/>
        <rFont val="Times New Roman"/>
        <family val="1"/>
      </rPr>
      <t xml:space="preserve">         </t>
    </r>
    <r>
      <rPr>
        <sz val="10"/>
        <color rgb="FF000000"/>
        <rFont val="Arial"/>
        <family val="2"/>
      </rPr>
      <t>NURSE PRACTITIONER (17)</t>
    </r>
  </si>
  <si>
    <r>
      <t>·</t>
    </r>
    <r>
      <rPr>
        <sz val="7"/>
        <color rgb="FF000000"/>
        <rFont val="Times New Roman"/>
        <family val="1"/>
      </rPr>
      <t xml:space="preserve">         </t>
    </r>
    <r>
      <rPr>
        <sz val="10"/>
        <color rgb="FF000000"/>
        <rFont val="Arial"/>
        <family val="2"/>
      </rPr>
      <t>PSYCHOLOGIST(05)</t>
    </r>
  </si>
  <si>
    <t>26–27, 62, 69, 79</t>
  </si>
  <si>
    <r>
      <t>·</t>
    </r>
    <r>
      <rPr>
        <sz val="7"/>
        <color rgb="FF000000"/>
        <rFont val="Times New Roman"/>
        <family val="1"/>
      </rPr>
      <t xml:space="preserve">         </t>
    </r>
    <r>
      <rPr>
        <sz val="10"/>
        <color rgb="FF000000"/>
        <rFont val="Arial"/>
        <family val="2"/>
      </rPr>
      <t>MENTAL HEALTH CENTER (26)</t>
    </r>
  </si>
  <si>
    <r>
      <t>·</t>
    </r>
    <r>
      <rPr>
        <sz val="7"/>
        <color rgb="FF000000"/>
        <rFont val="Times New Roman"/>
        <family val="1"/>
      </rPr>
      <t xml:space="preserve">         </t>
    </r>
    <r>
      <rPr>
        <sz val="10"/>
        <color rgb="FF000000"/>
        <rFont val="Arial"/>
        <family val="2"/>
      </rPr>
      <t>SUBSTANCE ABUSE PROGRAM (28)</t>
    </r>
  </si>
  <si>
    <r>
      <t>·</t>
    </r>
    <r>
      <rPr>
        <sz val="7"/>
        <color rgb="FF000000"/>
        <rFont val="Times New Roman"/>
        <family val="1"/>
      </rPr>
      <t xml:space="preserve">         </t>
    </r>
    <r>
      <rPr>
        <sz val="10"/>
        <color rgb="FF000000"/>
        <rFont val="Arial"/>
        <family val="2"/>
      </rPr>
      <t>PSYCHIATRIC DAY TREATMENT (65)</t>
    </r>
  </si>
  <si>
    <r>
      <t>·</t>
    </r>
    <r>
      <rPr>
        <sz val="7"/>
        <color rgb="FF000000"/>
        <rFont val="Times New Roman"/>
        <family val="1"/>
      </rPr>
      <t xml:space="preserve">         </t>
    </r>
    <r>
      <rPr>
        <sz val="10"/>
        <color rgb="FF000000"/>
        <rFont val="Arial"/>
        <family val="2"/>
      </rPr>
      <t>PHYSICIAN (MD or DO) (01)</t>
    </r>
  </si>
  <si>
    <t>01–16, 20-25, 28–40, 44–48, 50, 65–67,</t>
  </si>
  <si>
    <t>Excluding ICD 10: F01 – F99 (include all applicable digits)</t>
  </si>
  <si>
    <r>
      <t>·</t>
    </r>
    <r>
      <rPr>
        <sz val="7"/>
        <color rgb="FF000000"/>
        <rFont val="Times New Roman"/>
        <family val="1"/>
      </rPr>
      <t xml:space="preserve">         </t>
    </r>
    <r>
      <rPr>
        <sz val="10"/>
        <color rgb="FF000000"/>
        <rFont val="Arial"/>
        <family val="2"/>
      </rPr>
      <t>PODIATRIST (06)</t>
    </r>
  </si>
  <si>
    <t>70–73,</t>
  </si>
  <si>
    <r>
      <t>·</t>
    </r>
    <r>
      <rPr>
        <sz val="7"/>
        <color rgb="FF000000"/>
        <rFont val="Times New Roman"/>
        <family val="1"/>
      </rPr>
      <t xml:space="preserve">         </t>
    </r>
    <r>
      <rPr>
        <sz val="10"/>
        <color rgb="FF000000"/>
        <rFont val="Arial"/>
        <family val="2"/>
      </rPr>
      <t>THERAPIST-includes speech, occupational, and physical (07)</t>
    </r>
  </si>
  <si>
    <t>75–78,</t>
  </si>
  <si>
    <r>
      <t>·</t>
    </r>
    <r>
      <rPr>
        <sz val="7"/>
        <color rgb="FF000000"/>
        <rFont val="Times New Roman"/>
        <family val="1"/>
      </rPr>
      <t xml:space="preserve">         </t>
    </r>
    <r>
      <rPr>
        <sz val="10"/>
        <color rgb="FF000000"/>
        <rFont val="Arial"/>
        <family val="2"/>
      </rPr>
      <t>NURSE MIDWIFE (08)</t>
    </r>
  </si>
  <si>
    <t>81–84,</t>
  </si>
  <si>
    <r>
      <t>·</t>
    </r>
    <r>
      <rPr>
        <sz val="7"/>
        <color rgb="FF000000"/>
        <rFont val="Times New Roman"/>
        <family val="1"/>
      </rPr>
      <t xml:space="preserve">         </t>
    </r>
    <r>
      <rPr>
        <sz val="10"/>
        <color rgb="FF000000"/>
        <rFont val="Arial"/>
        <family val="2"/>
      </rPr>
      <t>CHIROPRACTOR (16)</t>
    </r>
  </si>
  <si>
    <t>90–91, 93, 98, B2</t>
  </si>
  <si>
    <r>
      <t>·</t>
    </r>
    <r>
      <rPr>
        <sz val="7"/>
        <color rgb="FF000000"/>
        <rFont val="Times New Roman"/>
        <family val="1"/>
      </rPr>
      <t xml:space="preserve">         </t>
    </r>
    <r>
      <rPr>
        <sz val="10"/>
        <color rgb="FF000000"/>
        <rFont val="Arial"/>
        <family val="2"/>
      </rPr>
      <t>INDEPENDENT DIAGNOSTIC TESTING FACILITY (IDTF) (45)</t>
    </r>
  </si>
  <si>
    <r>
      <t>·</t>
    </r>
    <r>
      <rPr>
        <sz val="7"/>
        <color rgb="FF000000"/>
        <rFont val="Times New Roman"/>
        <family val="1"/>
      </rPr>
      <t xml:space="preserve">         </t>
    </r>
    <r>
      <rPr>
        <sz val="10"/>
        <color rgb="FF000000"/>
        <rFont val="Arial"/>
        <family val="2"/>
      </rPr>
      <t>CERTIFIED INDEPENDENT LABORATORY (46)</t>
    </r>
  </si>
  <si>
    <t>Other Services</t>
  </si>
  <si>
    <r>
      <t>·</t>
    </r>
    <r>
      <rPr>
        <sz val="7"/>
        <color rgb="FF000000"/>
        <rFont val="Times New Roman"/>
        <family val="1"/>
      </rPr>
      <t xml:space="preserve">         </t>
    </r>
    <r>
      <rPr>
        <sz val="10"/>
        <color rgb="FF000000"/>
        <rFont val="Arial"/>
        <family val="2"/>
      </rPr>
      <t xml:space="preserve">PHARMACY (40) (Prescriptions and pharmaceuticals, only) </t>
    </r>
  </si>
  <si>
    <t>A5</t>
  </si>
  <si>
    <t>Pharmacy/Drugs</t>
  </si>
  <si>
    <r>
      <t>·</t>
    </r>
    <r>
      <rPr>
        <sz val="7"/>
        <color rgb="FF000000"/>
        <rFont val="Times New Roman"/>
        <family val="1"/>
      </rPr>
      <t xml:space="preserve">         </t>
    </r>
    <r>
      <rPr>
        <sz val="10"/>
        <color rgb="FF000000"/>
        <rFont val="Arial"/>
        <family val="2"/>
      </rPr>
      <t>DURABLE MEDICAL EQUIPMENT(41)</t>
    </r>
  </si>
  <si>
    <t>51–58, A6, B3</t>
  </si>
  <si>
    <r>
      <t>·</t>
    </r>
    <r>
      <rPr>
        <sz val="7"/>
        <color rgb="FF000000"/>
        <rFont val="Times New Roman"/>
        <family val="1"/>
      </rPr>
      <t xml:space="preserve">         </t>
    </r>
    <r>
      <rPr>
        <sz val="10"/>
        <color rgb="FF000000"/>
        <rFont val="Arial"/>
        <family val="2"/>
      </rPr>
      <t>OXYGEN AND RESPIRATORY THERAPY EQUIP (42)</t>
    </r>
  </si>
  <si>
    <r>
      <t>·</t>
    </r>
    <r>
      <rPr>
        <sz val="7"/>
        <color rgb="FF000000"/>
        <rFont val="Times New Roman"/>
        <family val="1"/>
      </rPr>
      <t xml:space="preserve">         </t>
    </r>
    <r>
      <rPr>
        <sz val="10"/>
        <color rgb="FF000000"/>
        <rFont val="Arial"/>
        <family val="2"/>
      </rPr>
      <t>PROSTHETICS (43)</t>
    </r>
  </si>
  <si>
    <r>
      <t>·</t>
    </r>
    <r>
      <rPr>
        <sz val="7"/>
        <color rgb="FF000000"/>
        <rFont val="Times New Roman"/>
        <family val="1"/>
      </rPr>
      <t xml:space="preserve">         </t>
    </r>
    <r>
      <rPr>
        <sz val="10"/>
        <color rgb="FF000000"/>
        <rFont val="Arial"/>
        <family val="2"/>
      </rPr>
      <t>HEARING INSTRUMENT SPECIALIST (44)</t>
    </r>
  </si>
  <si>
    <r>
      <t>·</t>
    </r>
    <r>
      <rPr>
        <sz val="7"/>
        <color rgb="FF000000"/>
        <rFont val="Times New Roman"/>
        <family val="1"/>
      </rPr>
      <t xml:space="preserve">         </t>
    </r>
    <r>
      <rPr>
        <sz val="10"/>
        <color rgb="FF000000"/>
        <rFont val="Arial"/>
        <family val="2"/>
      </rPr>
      <t>ORTHOTICS (47)</t>
    </r>
  </si>
  <si>
    <t>(May include DME &amp; Supplies billed by pharmacy)</t>
  </si>
  <si>
    <r>
      <t>·</t>
    </r>
    <r>
      <rPr>
        <sz val="7"/>
        <color rgb="FF000000"/>
        <rFont val="Times New Roman"/>
        <family val="1"/>
      </rPr>
      <t xml:space="preserve">         </t>
    </r>
    <r>
      <rPr>
        <sz val="10"/>
        <color rgb="FF000000"/>
        <rFont val="Arial"/>
        <family val="2"/>
      </rPr>
      <t>OPTOMETRIST (02)</t>
    </r>
  </si>
  <si>
    <t>18, 19,</t>
  </si>
  <si>
    <r>
      <t>·</t>
    </r>
    <r>
      <rPr>
        <sz val="7"/>
        <color rgb="FF000000"/>
        <rFont val="Times New Roman"/>
        <family val="1"/>
      </rPr>
      <t xml:space="preserve">         </t>
    </r>
    <r>
      <rPr>
        <sz val="10"/>
        <color rgb="FF000000"/>
        <rFont val="Arial"/>
        <family val="2"/>
      </rPr>
      <t>OPTICIAN (03)</t>
    </r>
  </si>
  <si>
    <t>41–42,</t>
  </si>
  <si>
    <r>
      <t>·</t>
    </r>
    <r>
      <rPr>
        <sz val="7"/>
        <color rgb="FF000000"/>
        <rFont val="Times New Roman"/>
        <family val="1"/>
      </rPr>
      <t xml:space="preserve">         </t>
    </r>
    <r>
      <rPr>
        <sz val="10"/>
        <color rgb="FF000000"/>
        <rFont val="Arial"/>
        <family val="2"/>
      </rPr>
      <t>OCULARIST (04)</t>
    </r>
  </si>
  <si>
    <t>63–64, 74, 85, 92, 94, 96, 99, B4, B5</t>
  </si>
  <si>
    <r>
      <t>·</t>
    </r>
    <r>
      <rPr>
        <sz val="7"/>
        <color rgb="FF000000"/>
        <rFont val="Times New Roman"/>
        <family val="1"/>
      </rPr>
      <t xml:space="preserve">         </t>
    </r>
    <r>
      <rPr>
        <sz val="10"/>
        <color rgb="FF000000"/>
        <rFont val="Arial"/>
        <family val="2"/>
      </rPr>
      <t>DENTIST (10)</t>
    </r>
  </si>
  <si>
    <r>
      <t>·</t>
    </r>
    <r>
      <rPr>
        <sz val="7"/>
        <color rgb="FF000000"/>
        <rFont val="Times New Roman"/>
        <family val="1"/>
      </rPr>
      <t xml:space="preserve">         </t>
    </r>
    <r>
      <rPr>
        <sz val="10"/>
        <color rgb="FF000000"/>
        <rFont val="Arial"/>
        <family val="2"/>
      </rPr>
      <t>DENTAL CLINIC (11)</t>
    </r>
  </si>
  <si>
    <r>
      <t>·</t>
    </r>
    <r>
      <rPr>
        <sz val="7"/>
        <color rgb="FF000000"/>
        <rFont val="Times New Roman"/>
        <family val="1"/>
      </rPr>
      <t xml:space="preserve">         </t>
    </r>
    <r>
      <rPr>
        <sz val="10"/>
        <color rgb="FF000000"/>
        <rFont val="Arial"/>
        <family val="2"/>
      </rPr>
      <t>DENTAL SCHOOL CLINIC UNDERGRAD (12)</t>
    </r>
  </si>
  <si>
    <r>
      <t>·</t>
    </r>
    <r>
      <rPr>
        <sz val="7"/>
        <color rgb="FF000000"/>
        <rFont val="Times New Roman"/>
        <family val="1"/>
      </rPr>
      <t xml:space="preserve">         </t>
    </r>
    <r>
      <rPr>
        <sz val="10"/>
        <color rgb="FF000000"/>
        <rFont val="Arial"/>
        <family val="2"/>
      </rPr>
      <t>DENTAL SCHOOL CLINIC GRAD (13)</t>
    </r>
  </si>
  <si>
    <r>
      <t>·</t>
    </r>
    <r>
      <rPr>
        <sz val="7"/>
        <color rgb="FF000000"/>
        <rFont val="Times New Roman"/>
        <family val="1"/>
      </rPr>
      <t xml:space="preserve">         </t>
    </r>
    <r>
      <rPr>
        <sz val="10"/>
        <color rgb="FF000000"/>
        <rFont val="Arial"/>
        <family val="2"/>
      </rPr>
      <t>FAMILY PLANNING AGENCY (21)</t>
    </r>
  </si>
  <si>
    <r>
      <t>·</t>
    </r>
    <r>
      <rPr>
        <sz val="7"/>
        <color rgb="FF000000"/>
        <rFont val="Times New Roman"/>
        <family val="1"/>
      </rPr>
      <t xml:space="preserve">         </t>
    </r>
    <r>
      <rPr>
        <sz val="10"/>
        <color rgb="FF000000"/>
        <rFont val="Arial"/>
        <family val="2"/>
      </rPr>
      <t>SPEECH AND HEARING CENTER (23)</t>
    </r>
  </si>
  <si>
    <r>
      <t>·</t>
    </r>
    <r>
      <rPr>
        <sz val="7"/>
        <color rgb="FF000000"/>
        <rFont val="Times New Roman"/>
        <family val="1"/>
      </rPr>
      <t xml:space="preserve">         </t>
    </r>
    <r>
      <rPr>
        <sz val="10"/>
        <color rgb="FF000000"/>
        <rFont val="Arial"/>
        <family val="2"/>
      </rPr>
      <t>REHABILITATION CENTER (24)</t>
    </r>
  </si>
  <si>
    <r>
      <t>·</t>
    </r>
    <r>
      <rPr>
        <sz val="7"/>
        <color rgb="FF000000"/>
        <rFont val="Times New Roman"/>
        <family val="1"/>
      </rPr>
      <t xml:space="preserve">         </t>
    </r>
    <r>
      <rPr>
        <sz val="10"/>
        <color rgb="FF000000"/>
        <rFont val="Arial"/>
        <family val="2"/>
      </rPr>
      <t>RENAL DIALYSIS CLINIC (25)</t>
    </r>
  </si>
  <si>
    <r>
      <t>·</t>
    </r>
    <r>
      <rPr>
        <sz val="7"/>
        <color rgb="FF000000"/>
        <rFont val="Times New Roman"/>
        <family val="1"/>
      </rPr>
      <t xml:space="preserve">         </t>
    </r>
    <r>
      <rPr>
        <sz val="10"/>
        <color rgb="FF000000"/>
        <rFont val="Arial"/>
        <family val="2"/>
      </rPr>
      <t>EARLY INTERVENTION (29)</t>
    </r>
  </si>
  <si>
    <r>
      <t>·</t>
    </r>
    <r>
      <rPr>
        <sz val="7"/>
        <color rgb="FF000000"/>
        <rFont val="Times New Roman"/>
        <family val="1"/>
      </rPr>
      <t xml:space="preserve">         </t>
    </r>
    <r>
      <rPr>
        <sz val="10"/>
        <color rgb="FF000000"/>
        <rFont val="Arial"/>
        <family val="2"/>
      </rPr>
      <t>VOLUME PURCHASER (31)</t>
    </r>
  </si>
  <si>
    <r>
      <t>·</t>
    </r>
    <r>
      <rPr>
        <sz val="7"/>
        <color rgb="FF000000"/>
        <rFont val="Times New Roman"/>
        <family val="1"/>
      </rPr>
      <t xml:space="preserve">         </t>
    </r>
    <r>
      <rPr>
        <sz val="10"/>
        <color rgb="FF000000"/>
        <rFont val="Arial"/>
        <family val="2"/>
      </rPr>
      <t>AUDIOLOGIST (50)</t>
    </r>
  </si>
  <si>
    <r>
      <t>·</t>
    </r>
    <r>
      <rPr>
        <sz val="7"/>
        <color rgb="FF000000"/>
        <rFont val="Times New Roman"/>
        <family val="1"/>
      </rPr>
      <t xml:space="preserve">         </t>
    </r>
    <r>
      <rPr>
        <sz val="10"/>
        <color rgb="FF000000"/>
        <rFont val="Arial"/>
        <family val="2"/>
      </rPr>
      <t>RADIATION ONCOLOGY TREATMENT CENTER (87)</t>
    </r>
  </si>
  <si>
    <r>
      <t>·</t>
    </r>
    <r>
      <rPr>
        <sz val="7"/>
        <color rgb="FF000000"/>
        <rFont val="Times New Roman"/>
        <family val="1"/>
      </rPr>
      <t xml:space="preserve">         </t>
    </r>
    <r>
      <rPr>
        <sz val="10"/>
        <color rgb="FF000000"/>
        <rFont val="Arial"/>
        <family val="2"/>
      </rPr>
      <t>SCHOOL BASED MEDICAID (89)</t>
    </r>
  </si>
  <si>
    <r>
      <t>·</t>
    </r>
    <r>
      <rPr>
        <sz val="7"/>
        <color rgb="FF000000"/>
        <rFont val="Times New Roman"/>
        <family val="1"/>
      </rPr>
      <t xml:space="preserve">         </t>
    </r>
    <r>
      <rPr>
        <sz val="10"/>
        <color rgb="FF000000"/>
        <rFont val="Arial"/>
        <family val="2"/>
      </rPr>
      <t>INDIAN HEALTH SERVICES (91)</t>
    </r>
  </si>
  <si>
    <r>
      <t>·</t>
    </r>
    <r>
      <rPr>
        <sz val="7"/>
        <color rgb="FF000000"/>
        <rFont val="Times New Roman"/>
        <family val="1"/>
      </rPr>
      <t xml:space="preserve">         </t>
    </r>
    <r>
      <rPr>
        <sz val="10"/>
        <color rgb="FF000000"/>
        <rFont val="Arial"/>
        <family val="2"/>
      </rPr>
      <t>SPECIAL PROGRAMS (98)</t>
    </r>
  </si>
  <si>
    <r>
      <t>·</t>
    </r>
    <r>
      <rPr>
        <sz val="7"/>
        <color rgb="FF000000"/>
        <rFont val="Times New Roman"/>
        <family val="1"/>
      </rPr>
      <t xml:space="preserve">         </t>
    </r>
    <r>
      <rPr>
        <sz val="10"/>
        <color rgb="FF000000"/>
        <rFont val="Arial"/>
        <family val="2"/>
      </rPr>
      <t>TRANSPORTATION (49)</t>
    </r>
  </si>
  <si>
    <t xml:space="preserve">Transportation </t>
  </si>
  <si>
    <r>
      <t>·</t>
    </r>
    <r>
      <rPr>
        <sz val="7"/>
        <color rgb="FF000000"/>
        <rFont val="Times New Roman"/>
        <family val="1"/>
      </rPr>
      <t xml:space="preserve">         </t>
    </r>
    <r>
      <rPr>
        <sz val="10"/>
        <color rgb="FF000000"/>
        <rFont val="Arial"/>
        <family val="2"/>
      </rPr>
      <t>CASE MANAGEMENT (33)</t>
    </r>
  </si>
  <si>
    <r>
      <t>·</t>
    </r>
    <r>
      <rPr>
        <sz val="7"/>
        <color rgb="FF000000"/>
        <rFont val="Times New Roman"/>
        <family val="1"/>
      </rPr>
      <t xml:space="preserve">         </t>
    </r>
    <r>
      <rPr>
        <sz val="10"/>
        <color rgb="FF000000"/>
        <rFont val="Arial"/>
        <family val="2"/>
      </rPr>
      <t>HOME HEALTH (60)</t>
    </r>
  </si>
  <si>
    <t>(3**)</t>
  </si>
  <si>
    <t>A4</t>
  </si>
  <si>
    <r>
      <t>·</t>
    </r>
    <r>
      <rPr>
        <sz val="7"/>
        <color rgb="FF000000"/>
        <rFont val="Times New Roman"/>
        <family val="1"/>
      </rPr>
      <t xml:space="preserve">         </t>
    </r>
    <r>
      <rPr>
        <sz val="10"/>
        <color rgb="FF000000"/>
        <rFont val="Arial"/>
        <family val="2"/>
      </rPr>
      <t>INDEPENDENT NURSE (61)</t>
    </r>
  </si>
  <si>
    <r>
      <t>·</t>
    </r>
    <r>
      <rPr>
        <sz val="7"/>
        <color rgb="FF000000"/>
        <rFont val="Times New Roman"/>
        <family val="1"/>
      </rPr>
      <t xml:space="preserve">         </t>
    </r>
    <r>
      <rPr>
        <sz val="10"/>
        <color rgb="FF000000"/>
        <rFont val="Arial"/>
        <family val="2"/>
      </rPr>
      <t>COMMUNITY LTSS</t>
    </r>
  </si>
  <si>
    <r>
      <t>·</t>
    </r>
    <r>
      <rPr>
        <sz val="7"/>
        <color rgb="FF000000"/>
        <rFont val="Times New Roman"/>
        <family val="1"/>
      </rPr>
      <t xml:space="preserve">         </t>
    </r>
    <r>
      <rPr>
        <sz val="10"/>
        <color rgb="FF000000"/>
        <rFont val="Arial"/>
        <family val="2"/>
      </rPr>
      <t>FISCAL INTERMEDIARY SERVICES (58)</t>
    </r>
  </si>
  <si>
    <r>
      <t>·</t>
    </r>
    <r>
      <rPr>
        <sz val="7"/>
        <color rgb="FF000000"/>
        <rFont val="Times New Roman"/>
        <family val="1"/>
      </rPr>
      <t xml:space="preserve">         </t>
    </r>
    <r>
      <rPr>
        <sz val="10"/>
        <color rgb="FF000000"/>
        <rFont val="Arial"/>
        <family val="2"/>
      </rPr>
      <t>PERSONAL CARE MANAGEMENT AGENCY (59)</t>
    </r>
  </si>
  <si>
    <r>
      <t>·</t>
    </r>
    <r>
      <rPr>
        <sz val="7"/>
        <color rgb="FF000000"/>
        <rFont val="Times New Roman"/>
        <family val="1"/>
      </rPr>
      <t xml:space="preserve">         </t>
    </r>
    <r>
      <rPr>
        <sz val="10"/>
        <color rgb="FF000000"/>
        <rFont val="Arial"/>
        <family val="2"/>
      </rPr>
      <t>ADULT FOSTER CARE / GROUP ADULT FOSTER CARE (62)</t>
    </r>
  </si>
  <si>
    <r>
      <t>·</t>
    </r>
    <r>
      <rPr>
        <sz val="7"/>
        <color rgb="FF000000"/>
        <rFont val="Times New Roman"/>
        <family val="1"/>
      </rPr>
      <t xml:space="preserve">         </t>
    </r>
    <r>
      <rPr>
        <sz val="10"/>
        <color rgb="FF000000"/>
        <rFont val="Arial"/>
        <family val="2"/>
      </rPr>
      <t>ADULT DAY HEALTH (63)</t>
    </r>
  </si>
  <si>
    <r>
      <t>·</t>
    </r>
    <r>
      <rPr>
        <sz val="7"/>
        <color rgb="FF000000"/>
        <rFont val="Times New Roman"/>
        <family val="1"/>
      </rPr>
      <t xml:space="preserve">         </t>
    </r>
    <r>
      <rPr>
        <sz val="10"/>
        <color rgb="FF000000"/>
        <rFont val="Arial"/>
        <family val="2"/>
      </rPr>
      <t>DAY HABILITATION (64)</t>
    </r>
  </si>
  <si>
    <r>
      <t>·</t>
    </r>
    <r>
      <rPr>
        <sz val="7"/>
        <color rgb="FF000000"/>
        <rFont val="Times New Roman"/>
        <family val="1"/>
      </rPr>
      <t xml:space="preserve">         </t>
    </r>
    <r>
      <rPr>
        <sz val="10"/>
        <color rgb="FF000000"/>
        <rFont val="Arial"/>
        <family val="2"/>
      </rPr>
      <t>INDEPENDENT LIVING (66)</t>
    </r>
  </si>
  <si>
    <r>
      <t>·</t>
    </r>
    <r>
      <rPr>
        <sz val="7"/>
        <color rgb="FF000000"/>
        <rFont val="Times New Roman"/>
        <family val="1"/>
      </rPr>
      <t xml:space="preserve">         </t>
    </r>
    <r>
      <rPr>
        <sz val="10"/>
        <color rgb="FF000000"/>
        <rFont val="Arial"/>
        <family val="2"/>
      </rPr>
      <t>HOME CARE CORPORATION (68)</t>
    </r>
  </si>
  <si>
    <r>
      <t xml:space="preserve">Each line represents the recommended split for Medicare and/or Medicaid claims and corresponding template COS line.  </t>
    </r>
    <r>
      <rPr>
        <b/>
        <sz val="11"/>
        <color rgb="FFFF0000"/>
        <rFont val="Arial"/>
        <family val="2"/>
      </rPr>
      <t>Plan discretion should be used where definitions are not clear</t>
    </r>
    <r>
      <rPr>
        <sz val="11"/>
        <color rgb="FFFF0000"/>
        <rFont val="Arial"/>
        <family val="2"/>
      </rPr>
      <t>.</t>
    </r>
    <r>
      <rPr>
        <sz val="11"/>
        <rFont val="Arial"/>
        <family val="2"/>
      </rPr>
      <t xml:space="preserve">  If mapping varies from the list below, please explain the rationale behind variance in the notes tab.</t>
    </r>
  </si>
  <si>
    <r>
      <rPr>
        <b/>
        <sz val="11"/>
        <color rgb="FFFF0000"/>
        <rFont val="Arial"/>
        <family val="2"/>
      </rPr>
      <t xml:space="preserve">Medicare Primary </t>
    </r>
    <r>
      <rPr>
        <sz val="11"/>
        <rFont val="Arial"/>
        <family val="2"/>
      </rPr>
      <t>- All claims where Medicare would be the primary payer should be submitted as Medicare encounters and include services that are Medicare covered benefit</t>
    </r>
  </si>
  <si>
    <r>
      <rPr>
        <b/>
        <sz val="11"/>
        <color rgb="FFFF0000"/>
        <rFont val="Arial"/>
        <family val="2"/>
      </rPr>
      <t>Medicaid Primary</t>
    </r>
    <r>
      <rPr>
        <sz val="11"/>
        <rFont val="Arial"/>
        <family val="2"/>
      </rPr>
      <t xml:space="preserve"> - All claims where Medicaid would be the primary payer should be submitted as Medicaid encounters and include services that are a Medicaid covered benefit</t>
    </r>
  </si>
  <si>
    <t>Behavioral Health Inpatient Services:</t>
  </si>
  <si>
    <r>
      <t xml:space="preserve">*These bill types should be accompanied by a </t>
    </r>
    <r>
      <rPr>
        <sz val="10"/>
        <color rgb="FF0070C0"/>
        <rFont val="Arial"/>
        <family val="2"/>
      </rPr>
      <t>primary</t>
    </r>
    <r>
      <rPr>
        <sz val="10"/>
        <rFont val="Arial"/>
        <family val="2"/>
      </rPr>
      <t xml:space="preserve"> behavioral health diagnosis.         </t>
    </r>
  </si>
  <si>
    <t>Behavioral Health Outpatient Services</t>
  </si>
  <si>
    <t xml:space="preserve">013X-Hospital Outpatient                          014X-Hospital Other Part B </t>
  </si>
  <si>
    <r>
      <t xml:space="preserve">*These bill types should be accompanied by a </t>
    </r>
    <r>
      <rPr>
        <sz val="10"/>
        <color rgb="FF0070C0"/>
        <rFont val="Arial"/>
        <family val="2"/>
      </rPr>
      <t>primary</t>
    </r>
    <r>
      <rPr>
        <sz val="10"/>
        <rFont val="Arial"/>
        <family val="2"/>
      </rPr>
      <t xml:space="preserve"> behavioral health diagnosis.                                                               </t>
    </r>
  </si>
  <si>
    <t>Diversionary Services</t>
  </si>
  <si>
    <t xml:space="preserve">See bottom of chart for services associated with this category.  The decision on primacy should be made on a procedure code level for this service category. </t>
  </si>
  <si>
    <t>Chiropractic Services - Medicare</t>
  </si>
  <si>
    <t xml:space="preserve">Clinical Laboratory </t>
  </si>
  <si>
    <t xml:space="preserve">Alzheimer's Day Program </t>
  </si>
  <si>
    <t>Care Transitions Assistance</t>
  </si>
  <si>
    <t>Chore</t>
  </si>
  <si>
    <t>Community Health Workers (CHW)</t>
  </si>
  <si>
    <t>Plan Discretion (how to direct providers to submit claims)</t>
  </si>
  <si>
    <t> N/A</t>
  </si>
  <si>
    <t>Companion Service</t>
  </si>
  <si>
    <t>Day Services</t>
  </si>
  <si>
    <t>Same as adult day health</t>
  </si>
  <si>
    <t>S5100-S5105</t>
  </si>
  <si>
    <t>Family Training</t>
  </si>
  <si>
    <t>S5110, S5111</t>
  </si>
  <si>
    <t>Grocery Shop &amp; Delivery</t>
  </si>
  <si>
    <t>add S5120</t>
  </si>
  <si>
    <t>Home Delivery Meals</t>
  </si>
  <si>
    <t>Homemaker</t>
  </si>
  <si>
    <t>S5130, S5131</t>
  </si>
  <si>
    <t>Home Modifications</t>
  </si>
  <si>
    <t xml:space="preserve">Individualized Home Supports </t>
  </si>
  <si>
    <t>S5108, S5109</t>
  </si>
  <si>
    <t>Ind. Support and Community Habilitation</t>
  </si>
  <si>
    <t>H2015, H2016</t>
  </si>
  <si>
    <t>Laundry</t>
  </si>
  <si>
    <t>Nutritional Assessment</t>
  </si>
  <si>
    <t>97802, 97803, 97804, G0270, G0271, G0108, G0109</t>
  </si>
  <si>
    <t>Peer Support/ Counseling/ Navigation</t>
  </si>
  <si>
    <t>H0038</t>
  </si>
  <si>
    <t xml:space="preserve">Personal Care Attendant Services </t>
  </si>
  <si>
    <t>Includes PCM Services</t>
  </si>
  <si>
    <t>Respite Care Services</t>
  </si>
  <si>
    <t>H0045, S9125, S5150, S5151, T1005</t>
  </si>
  <si>
    <t>Supportive Home Care Aide</t>
  </si>
  <si>
    <t>S5125, S5126, G0156</t>
  </si>
  <si>
    <t>Community Health Center Services</t>
  </si>
  <si>
    <t>T1015</t>
  </si>
  <si>
    <t>Dental Services - Medicaid</t>
  </si>
  <si>
    <t xml:space="preserve">https://www.medicare.gov/coverage/durable-medical-equipment-coverage.html  </t>
  </si>
  <si>
    <t>Care/Case Management</t>
  </si>
  <si>
    <t>Family Planning</t>
  </si>
  <si>
    <t>Hearing Aid Services - Medicare</t>
  </si>
  <si>
    <t>Hearing Aid Services - Medicaid</t>
  </si>
  <si>
    <t>L8621-L8624, V5030-V5095, V5100, V5120-V5190, V5110, V5160, V5200-V5230, V5240-V5267, V5275, V5298-V5299, L8614-L8619</t>
  </si>
  <si>
    <t>Includes SCO FEW waiver services</t>
  </si>
  <si>
    <t>Includes some services not covered by Medicare.</t>
  </si>
  <si>
    <t>Independent Nursing (Continuous Skilled)</t>
  </si>
  <si>
    <t xml:space="preserve">011X-Hospital Inpatient (Part A) 012X-Hospital Inpatient (Part B)  </t>
  </si>
  <si>
    <t xml:space="preserve">Exclude behavioral health diagnosis         </t>
  </si>
  <si>
    <t>Acute</t>
  </si>
  <si>
    <t xml:space="preserve">Chronic </t>
  </si>
  <si>
    <t>Psychiatric</t>
  </si>
  <si>
    <t>Rehabilitation</t>
  </si>
  <si>
    <t>Administratively Necessary Day Services</t>
  </si>
  <si>
    <t>Nurse Midwife Services</t>
  </si>
  <si>
    <t>Nurse Practitioner Services</t>
  </si>
  <si>
    <r>
      <t>A5500-</t>
    </r>
    <r>
      <rPr>
        <sz val="10"/>
        <color rgb="FF0070C0"/>
        <rFont val="Arial"/>
        <family val="2"/>
      </rPr>
      <t>A5514</t>
    </r>
    <r>
      <rPr>
        <sz val="10"/>
        <rFont val="Arial"/>
        <family val="2"/>
      </rPr>
      <t>, K0672, L0112-L4398, L4631</t>
    </r>
  </si>
  <si>
    <t>Outpatient Hospital</t>
  </si>
  <si>
    <r>
      <t xml:space="preserve">013X-Hospital Outpatient                          014X-Hospital Other Part B                      </t>
    </r>
    <r>
      <rPr>
        <sz val="10"/>
        <color rgb="FFFF0000"/>
        <rFont val="Arial"/>
        <family val="2"/>
      </rPr>
      <t xml:space="preserve">  </t>
    </r>
    <r>
      <rPr>
        <sz val="10"/>
        <rFont val="Arial"/>
        <family val="2"/>
      </rPr>
      <t xml:space="preserve">                                083X-Hospital Outpatient (ASC)</t>
    </r>
  </si>
  <si>
    <t>Cueing and Monitoring</t>
  </si>
  <si>
    <t>Covered by both Medicare/Medicaid</t>
  </si>
  <si>
    <t>11055, 11056, 11057, 11719, 11720, 11721, 11730, 11732, 11740, 11750, 11752, 11755, 11760, 11762, 11765, G0127, G0245, G0246, G0247</t>
  </si>
  <si>
    <t>Prosthetics</t>
  </si>
  <si>
    <t>L5000-L8499, L8500-L9900</t>
  </si>
  <si>
    <t>Skilled Nursing Facility</t>
  </si>
  <si>
    <t>Skilled Nursing Facility - Medicare</t>
  </si>
  <si>
    <t>Medicare coverage does not include Long-term care and custodial care; 3 day hospital stay requirement prior to coverage; Coverage days based on authorization; Private or shared bedroom / bathroom may be covered.  Medical and non-medical leave of absence days may be covered.</t>
  </si>
  <si>
    <t>022X-SNF Inpatient Part B</t>
  </si>
  <si>
    <t xml:space="preserve">021X-SNF Inpatient                                       </t>
  </si>
  <si>
    <t>Speech and Hearing Services</t>
  </si>
  <si>
    <t>92521-92524, 92550-92621,92625-92640 92700, 92507-92508, V5362-V5364, S9128, S9152</t>
  </si>
  <si>
    <t>Supportive Housing (group foster care)</t>
  </si>
  <si>
    <t>Surgery</t>
  </si>
  <si>
    <t>Tobacco Cessation Services</t>
  </si>
  <si>
    <t>Occupational</t>
  </si>
  <si>
    <t>Physical</t>
  </si>
  <si>
    <t xml:space="preserve">Speech </t>
  </si>
  <si>
    <t>Vision Care Services - Medicaid</t>
  </si>
  <si>
    <t>Acute Treatment Services (ATS) for Substance Use Disorders (Level III.7)</t>
  </si>
  <si>
    <t>H0011</t>
  </si>
  <si>
    <t>Clinical Support Services for Substance Abuse Disorders (Level III.5)</t>
  </si>
  <si>
    <t>T1015, H0010</t>
  </si>
  <si>
    <t>Community Crisis Stabilization</t>
  </si>
  <si>
    <t>Community Support Program (CSP)</t>
  </si>
  <si>
    <t>Emergency Services Program (ESP)</t>
  </si>
  <si>
    <t>Intensive Outpatient Program (IOP)</t>
  </si>
  <si>
    <t>S9480</t>
  </si>
  <si>
    <t>Partial Hospitalization (PHP)</t>
  </si>
  <si>
    <t>Program of Assertive Community Treatment</t>
  </si>
  <si>
    <t>H0039-H0040</t>
  </si>
  <si>
    <t>Psychiatric Day Treatment</t>
  </si>
  <si>
    <t>Structured Outpatient Addiction Program (SOAP)</t>
  </si>
  <si>
    <t>HCPCS Coverage Code - A code denoting Medicare coverage status.</t>
  </si>
  <si>
    <t>HCPC</t>
  </si>
  <si>
    <t>LONG DESCRIPTION</t>
  </si>
  <si>
    <t>COV_CODE</t>
  </si>
  <si>
    <t>ADD_DATE</t>
  </si>
  <si>
    <t>ACT_EFF_DT</t>
  </si>
  <si>
    <t>TERM_DT</t>
  </si>
  <si>
    <t>A4210</t>
  </si>
  <si>
    <t>Needle-free injection device, each</t>
  </si>
  <si>
    <t>M</t>
  </si>
  <si>
    <t>A4232</t>
  </si>
  <si>
    <t>Syringe with needle for external insulin pump, sterile, 3cc</t>
  </si>
  <si>
    <t>I</t>
  </si>
  <si>
    <t>A4250</t>
  </si>
  <si>
    <t>Urine test or reagent strips or tablets (100 tablets or strips)</t>
  </si>
  <si>
    <t>A4252</t>
  </si>
  <si>
    <t>Blood ketone test or reagent strip, each</t>
  </si>
  <si>
    <t>S</t>
  </si>
  <si>
    <t>A4261</t>
  </si>
  <si>
    <t>Cervical cap for contraceptive use</t>
  </si>
  <si>
    <t>A4264</t>
  </si>
  <si>
    <t>Permanent implantable contraceptive intratubal occlusion device(s) and delivery system</t>
  </si>
  <si>
    <t>A4266</t>
  </si>
  <si>
    <t>Diaphragm for contraceptive use</t>
  </si>
  <si>
    <t>A4267</t>
  </si>
  <si>
    <t>Contraceptive supply, condom, male, each</t>
  </si>
  <si>
    <t>A4268</t>
  </si>
  <si>
    <t>Contraceptive supply, condom, female, each</t>
  </si>
  <si>
    <t>A4269</t>
  </si>
  <si>
    <t>Contraceptive supply, spermicide (e.g., foam, gel), each</t>
  </si>
  <si>
    <t>A4466</t>
  </si>
  <si>
    <t>Garment, belt, sleeve or other covering, elastic or similar stretchable material, any type, each</t>
  </si>
  <si>
    <t>A4490</t>
  </si>
  <si>
    <t>Surgical stockings above knee length, each</t>
  </si>
  <si>
    <t>A4495</t>
  </si>
  <si>
    <t>Surgical stockings thigh length, each</t>
  </si>
  <si>
    <t>A4500</t>
  </si>
  <si>
    <t>Surgical stockings below knee length, each</t>
  </si>
  <si>
    <t>A4510</t>
  </si>
  <si>
    <t>Surgical stockings full length, each</t>
  </si>
  <si>
    <t>A4520</t>
  </si>
  <si>
    <t>Incontinence garment, any type, (e.g. brief, diaper), each</t>
  </si>
  <si>
    <t>A4554</t>
  </si>
  <si>
    <t>Disposable underpads, all sizes</t>
  </si>
  <si>
    <t>A4555</t>
  </si>
  <si>
    <t>Electrode/transducer for use with electrical stimulation device used for cancer treatment, replacement only</t>
  </si>
  <si>
    <t>A4565</t>
  </si>
  <si>
    <t>Slings, dressings applied by physician-included in professional service.</t>
  </si>
  <si>
    <t>A4566</t>
  </si>
  <si>
    <t>Shoulder sling or vest design, abduction restrainer, with or without swathe control, prefabricated, includes fitting and adjustment</t>
  </si>
  <si>
    <t>A4570</t>
  </si>
  <si>
    <t>Splint</t>
  </si>
  <si>
    <t>A4575</t>
  </si>
  <si>
    <t>Topical hyperbaric oxygen chamber, disposable</t>
  </si>
  <si>
    <t>A4580</t>
  </si>
  <si>
    <t>Cast supplies (e.g. plaster)</t>
  </si>
  <si>
    <t>A4590</t>
  </si>
  <si>
    <t>Special casting material (e.g. fiberglass)</t>
  </si>
  <si>
    <t>A4611</t>
  </si>
  <si>
    <t>Battery, heavy duty; replacement for patient owned ventilator</t>
  </si>
  <si>
    <t>A4612</t>
  </si>
  <si>
    <t>Battery cables; replacement for patient-owned ventilator</t>
  </si>
  <si>
    <t>A4613</t>
  </si>
  <si>
    <t>Battery charger; replacement for patient-owned ventilator</t>
  </si>
  <si>
    <t>A4627</t>
  </si>
  <si>
    <t>Spacer, bag or reservoir, with or without mask, for use with metered dose inhaler</t>
  </si>
  <si>
    <t>A4670</t>
  </si>
  <si>
    <t>Automatic blood pressure monitor</t>
  </si>
  <si>
    <t>A6000</t>
  </si>
  <si>
    <t>Non-contact wound warming wound cover for use with the non-contact wound warming device and warming card</t>
  </si>
  <si>
    <t>A6413</t>
  </si>
  <si>
    <t>Adhesive bandage, first-aid type, any size, each</t>
  </si>
  <si>
    <t>A6530</t>
  </si>
  <si>
    <t>Gradient compression stocking, below knee, 18-30 mmhg, each</t>
  </si>
  <si>
    <t>A6533</t>
  </si>
  <si>
    <t>Gradient compression stocking, thigh length, 18-30 mmhg, each</t>
  </si>
  <si>
    <t>A6534</t>
  </si>
  <si>
    <t>Gradient compression stocking, thigh length, 30-40 mmhg, each</t>
  </si>
  <si>
    <t>A6535</t>
  </si>
  <si>
    <t>Gradient compression stocking, thigh length, 40-50 mmhg, each</t>
  </si>
  <si>
    <t>A6536</t>
  </si>
  <si>
    <t>Gradient compression stocking, full length/chap style, 18-30 mmhg, each</t>
  </si>
  <si>
    <t>A6537</t>
  </si>
  <si>
    <t>Gradient compression stocking, full length/chap style, 30-40 mmhg, each</t>
  </si>
  <si>
    <t>A6538</t>
  </si>
  <si>
    <t>Gradient compression stocking, full length/chap style, 40-50 mmhg, each</t>
  </si>
  <si>
    <t>A6539</t>
  </si>
  <si>
    <t>Gradient compression stocking, waist length, 18-30 mmhg, each</t>
  </si>
  <si>
    <t>A6540</t>
  </si>
  <si>
    <t>Gradient compression stocking, waist length, 30-40 mmhg, each</t>
  </si>
  <si>
    <t>A6541</t>
  </si>
  <si>
    <t>Gradient compression stocking, waist length, 40-50 mmhg, each</t>
  </si>
  <si>
    <t>A6544</t>
  </si>
  <si>
    <t>Gradient compression stocking, garter belt</t>
  </si>
  <si>
    <t>A6549</t>
  </si>
  <si>
    <t>Gradient compression stocking/sleeve, not otherwise specified</t>
  </si>
  <si>
    <t>A9152</t>
  </si>
  <si>
    <t>Single vitamin/mineral/trace element, oral, per dose, not otherwise specified</t>
  </si>
  <si>
    <t>A9153</t>
  </si>
  <si>
    <t>Multiple vitamins, with or without minerals and trace elements, oral, per dose, not otherwise specified</t>
  </si>
  <si>
    <t>A9180</t>
  </si>
  <si>
    <t>Pediculosis (lice infestation) treatment, topical, for administration by patient/caretaker</t>
  </si>
  <si>
    <t>A9270</t>
  </si>
  <si>
    <t>Non-covered item or service</t>
  </si>
  <si>
    <t>A9272</t>
  </si>
  <si>
    <t>Wound suction, disposable, includes dressing, all accessories and components, any type, each</t>
  </si>
  <si>
    <t>A9273</t>
  </si>
  <si>
    <t>Hot water bottle, ice cap or collar, heat and/or cold wrap, any type</t>
  </si>
  <si>
    <t>A9274</t>
  </si>
  <si>
    <t>External ambulatory insulin delivery system, disposable, each, includes all supplies and accessories</t>
  </si>
  <si>
    <t>A9275</t>
  </si>
  <si>
    <t>Home glucose disposable monitor, includes test strips</t>
  </si>
  <si>
    <t>A9276</t>
  </si>
  <si>
    <t>Sensor; invasive (e.g. subcutaneous), disposable, for use with interstitial continuous glucose monitoring system, one unit = 1 day supply</t>
  </si>
  <si>
    <t>A9277</t>
  </si>
  <si>
    <t>Transmitter; external, for use with interstitial continuous glucose monitoring system</t>
  </si>
  <si>
    <t>A9278</t>
  </si>
  <si>
    <t>Receiver (monitor); external, for use with interstitial continuous glucose monitoring system</t>
  </si>
  <si>
    <t>A9279</t>
  </si>
  <si>
    <t>Monitoring feature/device, stand-alone or integrated, any type, includes all accessories, components and electronics, not otherwise classified</t>
  </si>
  <si>
    <t>A9280</t>
  </si>
  <si>
    <t>Alert or alarm device, not otherwise classified</t>
  </si>
  <si>
    <t>A9281</t>
  </si>
  <si>
    <t>Reaching/grabbing device, any type, any length, each</t>
  </si>
  <si>
    <t>A9282</t>
  </si>
  <si>
    <t>Wig, any type, each</t>
  </si>
  <si>
    <t>A9283</t>
  </si>
  <si>
    <t>Foot pressure off loading/supportive device, any type, each</t>
  </si>
  <si>
    <t>A9300</t>
  </si>
  <si>
    <t>Exercise equipment</t>
  </si>
  <si>
    <t>B4100</t>
  </si>
  <si>
    <t>Food thickener, administered orally, per ounce</t>
  </si>
  <si>
    <t>E0172</t>
  </si>
  <si>
    <t>Seat lift mechanism placed over or on top of toilet, any type</t>
  </si>
  <si>
    <t>E0203</t>
  </si>
  <si>
    <t>Therapeutic lightbox, minimum 10,000 lux, table top model</t>
  </si>
  <si>
    <t>E0231</t>
  </si>
  <si>
    <t>Non-contact wound warming device (temperature control unit, ac adapter and power cord) for use with warming card and wound cover</t>
  </si>
  <si>
    <t>E0232</t>
  </si>
  <si>
    <t>Warming card for use with the non-contact wound warming device and non-contact wound warming wound cover</t>
  </si>
  <si>
    <t>E0240</t>
  </si>
  <si>
    <t>Bath/shower chair, with or without wheels, any size</t>
  </si>
  <si>
    <t>E0241</t>
  </si>
  <si>
    <t>Bath tub wall rail, each</t>
  </si>
  <si>
    <t>E0242</t>
  </si>
  <si>
    <t>Bath tub rail, floor base</t>
  </si>
  <si>
    <t>E0243</t>
  </si>
  <si>
    <t>Toilet rail, each</t>
  </si>
  <si>
    <t>E0244</t>
  </si>
  <si>
    <t>Raised toilet seat</t>
  </si>
  <si>
    <t>E0245</t>
  </si>
  <si>
    <t>Tub stool or bench</t>
  </si>
  <si>
    <t>E0270</t>
  </si>
  <si>
    <t>Hospital bed, institutional type includes: oscillating, circulating and stryker frame, with mattress</t>
  </si>
  <si>
    <t>E0273</t>
  </si>
  <si>
    <t>Bed board</t>
  </si>
  <si>
    <t>E0274</t>
  </si>
  <si>
    <t>Over-bed table</t>
  </si>
  <si>
    <t>E0315</t>
  </si>
  <si>
    <t>Bed accessory: board, table, or support device, any type</t>
  </si>
  <si>
    <t>E0446</t>
  </si>
  <si>
    <t>Topical oxygen delivery system, not otherwise specified, includes all supplies and accessories</t>
  </si>
  <si>
    <t>E0457</t>
  </si>
  <si>
    <t>Chest shell (cuirass)</t>
  </si>
  <si>
    <t>E0459</t>
  </si>
  <si>
    <t>Chest wrap</t>
  </si>
  <si>
    <t>E0481</t>
  </si>
  <si>
    <t>Intrapulmonary percussive ventilation system and related accessories</t>
  </si>
  <si>
    <t>E0625</t>
  </si>
  <si>
    <t>Patient lift, bathroom or toilet, not otherwise classified</t>
  </si>
  <si>
    <t>E0637</t>
  </si>
  <si>
    <t>Combination sit to stand frame/table system, any size including pediatric, with seat lift feature, with or without wheels</t>
  </si>
  <si>
    <t>E0638</t>
  </si>
  <si>
    <t>Standing frame/table system, one position (e.g. upright, supine or prone stander), any size including pediatric, with or without wheels</t>
  </si>
  <si>
    <t>E0641</t>
  </si>
  <si>
    <t>Standing frame/table system, multi-position (e.g. three-way stander), any size including pediatric, with or without wheels</t>
  </si>
  <si>
    <t>E0642</t>
  </si>
  <si>
    <t>Standing frame/table system, mobile (dynamic stander), any size including pediatric</t>
  </si>
  <si>
    <t>E7000</t>
  </si>
  <si>
    <t>Safety equipment, device or accessory, any type</t>
  </si>
  <si>
    <t>E0936</t>
  </si>
  <si>
    <t>Continuous passive motion exercise device for use other than knee</t>
  </si>
  <si>
    <t>E0970</t>
  </si>
  <si>
    <t>No.2 footplates, except for elevating leg rest</t>
  </si>
  <si>
    <t>E1085</t>
  </si>
  <si>
    <t>Hemi-wheelchair, fixed full length arms, swing away detachable foot rests</t>
  </si>
  <si>
    <t>E1086</t>
  </si>
  <si>
    <t>Hemi-wheelchair detachable arms desk or full length, swing away detachable footrests</t>
  </si>
  <si>
    <t>E1089</t>
  </si>
  <si>
    <t>High strength lightweight wheelchair, fixed length arms, swing away detachable footrest</t>
  </si>
  <si>
    <t>E1090</t>
  </si>
  <si>
    <t>High strength lightweight wheelchair, detachable arms desk or full length, swing away detachable foot rests</t>
  </si>
  <si>
    <t>E1130</t>
  </si>
  <si>
    <t>Standard wheelchair, fixed full length arms, fixed or swing away detachable footrests</t>
  </si>
  <si>
    <t>E1140</t>
  </si>
  <si>
    <t>Wheelchair, detachable arms, desk or full length, swing away detachable footrests</t>
  </si>
  <si>
    <t>E1250</t>
  </si>
  <si>
    <t>Lightweight wheelchair, fixed full length arms, swing away detachable footrest</t>
  </si>
  <si>
    <t>E1260</t>
  </si>
  <si>
    <t>Lightweight wheelchair, detachable arms (desk or full length) swing away detachable footrest</t>
  </si>
  <si>
    <t>E1285</t>
  </si>
  <si>
    <t>Heavy duty wheelchair, fixed full length arms, swing away detachable footrest</t>
  </si>
  <si>
    <t>E1290</t>
  </si>
  <si>
    <t>Heavy duty wheelchair, detachable arms (desk or full length) swing away detachable footrest</t>
  </si>
  <si>
    <t>E1300</t>
  </si>
  <si>
    <t>Whirlpool, portable (overtub type)</t>
  </si>
  <si>
    <t>E1358</t>
  </si>
  <si>
    <t>Oxygen accessory, dc power adapter for portable concentrator, any type, replacement only, each</t>
  </si>
  <si>
    <t>E2230</t>
  </si>
  <si>
    <t>Manual wheelchair accessory</t>
  </si>
  <si>
    <t>E8000</t>
  </si>
  <si>
    <t>Gait trainer, pediatric size, posterior support, includes all accessories and components</t>
  </si>
  <si>
    <t>E8001</t>
  </si>
  <si>
    <t>Gait trainer, pediatric size, upright support, includes all accessories and components</t>
  </si>
  <si>
    <t>E8002</t>
  </si>
  <si>
    <t>Gait trainer, pediatric size, anterior support, includes all accessories and components</t>
  </si>
  <si>
    <t>J1825</t>
  </si>
  <si>
    <t>Injection, interferon beta</t>
  </si>
  <si>
    <t>J3520</t>
  </si>
  <si>
    <t>Edetate disodium, per 150 mg.</t>
  </si>
  <si>
    <t>J3535</t>
  </si>
  <si>
    <t>Drug administered through a metered dose inhaler</t>
  </si>
  <si>
    <t>J3570</t>
  </si>
  <si>
    <t>Laetrille, amygdalin, vitamin b-17</t>
  </si>
  <si>
    <t>J7300</t>
  </si>
  <si>
    <t>Intrauterine copper contraceptive</t>
  </si>
  <si>
    <t>J7302</t>
  </si>
  <si>
    <t>J7303</t>
  </si>
  <si>
    <t>Contraceptive supply, Hormone containing vaginal ring</t>
  </si>
  <si>
    <t>J7304</t>
  </si>
  <si>
    <t>Contraceptive supply, Hormone containing patch</t>
  </si>
  <si>
    <t>J7306</t>
  </si>
  <si>
    <t>Levonorgestrel implant system, including supplies</t>
  </si>
  <si>
    <t>J7307</t>
  </si>
  <si>
    <t>Etonogestrel implant system, including supplies</t>
  </si>
  <si>
    <t>J8499</t>
  </si>
  <si>
    <t>Prescription drug, oral, nonchemotherapeutic, NOS</t>
  </si>
  <si>
    <t>J8515</t>
  </si>
  <si>
    <t>Cabergoline, oral 0.25 mg.</t>
  </si>
  <si>
    <t>J8565</t>
  </si>
  <si>
    <t>Gefitinib, oral, 50 mg.</t>
  </si>
  <si>
    <t>K0740</t>
  </si>
  <si>
    <t>Repair or non-routine service for oxygen equipment requiring the skill of a technician, labor component, per 15 minutes</t>
  </si>
  <si>
    <t>L2861</t>
  </si>
  <si>
    <t>Addition to lower extremity joint, knee or ankle</t>
  </si>
  <si>
    <t>L3215-L3222</t>
  </si>
  <si>
    <t>Orthopedic footwear, ladies/mens shoes</t>
  </si>
  <si>
    <t>L7600</t>
  </si>
  <si>
    <t>Prosthetic donning sleeve, any material</t>
  </si>
  <si>
    <t>L8692</t>
  </si>
  <si>
    <t>Auditory osseointegrated device</t>
  </si>
  <si>
    <t>Q0144</t>
  </si>
  <si>
    <t>Azithromycin dihydrate, oral</t>
  </si>
  <si>
    <t>Q3026</t>
  </si>
  <si>
    <t>S0012-S9999</t>
  </si>
  <si>
    <t>Temporary national codes</t>
  </si>
  <si>
    <t>Private duty / independent nursing service(s) - licensed, up to 15 minutes</t>
  </si>
  <si>
    <t>T1001</t>
  </si>
  <si>
    <t>Nursing assessment / evaluation</t>
  </si>
  <si>
    <t>T1002</t>
  </si>
  <si>
    <t>Rn services, up to 15 minutes</t>
  </si>
  <si>
    <t>T1003</t>
  </si>
  <si>
    <t>Lpn/lvn services, up to 15 minutes</t>
  </si>
  <si>
    <t>T1004</t>
  </si>
  <si>
    <t>Services of a qualified nursing aide, up to 15 minutes</t>
  </si>
  <si>
    <t>T1005</t>
  </si>
  <si>
    <t>Respite care services, up to 15 minutes</t>
  </si>
  <si>
    <t>T1006</t>
  </si>
  <si>
    <t>Alcohol and/or substance abuse services, family/couple counseling</t>
  </si>
  <si>
    <t>T1007</t>
  </si>
  <si>
    <t>Alcohol and/or substance abuse services, treatment plan development and/or modification</t>
  </si>
  <si>
    <t>T1009</t>
  </si>
  <si>
    <t>Child sitting services for children of the individual receiving alcohol and/or substance abuse services</t>
  </si>
  <si>
    <t>T1010</t>
  </si>
  <si>
    <t>Meals for individuals receiving alcohol and/or substance abuse services (when meals not included in the program)</t>
  </si>
  <si>
    <t>T1012</t>
  </si>
  <si>
    <t>Alcohol and/or substance abuse services, skills development</t>
  </si>
  <si>
    <t>T1013</t>
  </si>
  <si>
    <t>Sign language or oral interpretive services, per 15 minutes</t>
  </si>
  <si>
    <t>T1014</t>
  </si>
  <si>
    <t>Telehealth transmission, per minute, professional services bill separately</t>
  </si>
  <si>
    <t>Clinic visit/encounter, all-inclusive</t>
  </si>
  <si>
    <t>T1016</t>
  </si>
  <si>
    <t>Case management, each 15 minutes</t>
  </si>
  <si>
    <t>T1017</t>
  </si>
  <si>
    <t>Targeted case management, each 15 minutes</t>
  </si>
  <si>
    <t>T1018</t>
  </si>
  <si>
    <t>School-based individualized education program (iep) services, bundled</t>
  </si>
  <si>
    <t>T1019</t>
  </si>
  <si>
    <t>Personal care services, per 15 minutes, not for an inpatient or resident of a hospital, nursing facility, icf/mr or imd, part of the individualized plan of treatment (code may not be used to identify services provided by home health aide or certified nurse assistant)</t>
  </si>
  <si>
    <t>T1020</t>
  </si>
  <si>
    <t>Personal care services, per diem, not for an inpatient or resident of a hospital, nursing facility, icf/mr or imd, part of the individualized plan of treatment (code may not be used to identify services provided by home health aide or certified nurse assistant)</t>
  </si>
  <si>
    <t>T1021</t>
  </si>
  <si>
    <t>Home health aide or certified nurse assistant, per visit</t>
  </si>
  <si>
    <t>T1022</t>
  </si>
  <si>
    <t>Contracted home health agency services, all services provided under contract, per day</t>
  </si>
  <si>
    <t>T1023</t>
  </si>
  <si>
    <t>Screening to determine the appropriateness of consideration of an individual for participation in a specified program, project or treatment protocol, per encounter</t>
  </si>
  <si>
    <t>T1024</t>
  </si>
  <si>
    <t>Evaluation and treatment by an integrated, specialty team contracted to provide coordinated care to multiple or severely handicapped children, per encounter</t>
  </si>
  <si>
    <t>T1025</t>
  </si>
  <si>
    <t>Intensive, extended multidisciplinary services provided in a clinic setting to children with complex medical, physical, mental and psychosocial impairments, per diem</t>
  </si>
  <si>
    <t>T1026</t>
  </si>
  <si>
    <t>Intensive, extended multidisciplinary services provided in a clinic setting to children with complex medical, physical, medical and psychosocial impairments, per hour</t>
  </si>
  <si>
    <t>T1027</t>
  </si>
  <si>
    <t>Family training and counseling for child development, per 15 minutes</t>
  </si>
  <si>
    <t>T1028</t>
  </si>
  <si>
    <t>Assessment of home, physical and family environment, to determine suitability to meet patient's medical needs</t>
  </si>
  <si>
    <t>T1029</t>
  </si>
  <si>
    <t>Comprehensive environmental lead investigation, not including laboratory analysis, per dwelling</t>
  </si>
  <si>
    <t>T1030</t>
  </si>
  <si>
    <t>Nursing care, in the home, by registered nurse, per diem</t>
  </si>
  <si>
    <t>T1031</t>
  </si>
  <si>
    <t>Nursing care, in the home, by licensed practical nurse, per diem</t>
  </si>
  <si>
    <t>T1502</t>
  </si>
  <si>
    <t>Administration of oral, intramuscular and/or subcutaneous medication by health care agency/professional, per visit</t>
  </si>
  <si>
    <t>T1503</t>
  </si>
  <si>
    <t>Administration of medication, other than oral and/or injectable, by a health care agency/professional, per visit</t>
  </si>
  <si>
    <t>T1505</t>
  </si>
  <si>
    <t>Electronic medication compliance management device, includes all components and accessories, not otherwise classified</t>
  </si>
  <si>
    <t>T1999</t>
  </si>
  <si>
    <t>Miscellaneous therapeutic items and supplies, retail purchases, not otherwise classified; identify product in "remarks"</t>
  </si>
  <si>
    <t>T2001</t>
  </si>
  <si>
    <t>Non-emergency transportation; patient attendant/escort</t>
  </si>
  <si>
    <t>T2002</t>
  </si>
  <si>
    <t>Non-emergency transportation; per diem</t>
  </si>
  <si>
    <t>T2003</t>
  </si>
  <si>
    <t>Non-emergency transportation; encounter/trip</t>
  </si>
  <si>
    <t>T2004</t>
  </si>
  <si>
    <t>Non-emergency transport; commercial carrier, multi-pass</t>
  </si>
  <si>
    <t>T2005</t>
  </si>
  <si>
    <t>Non-emergency transportation; stretcher van</t>
  </si>
  <si>
    <t>T2007</t>
  </si>
  <si>
    <t>Transportation waiting time, air ambulance and non-emergency vehicle, one-half (1/2) hour increments</t>
  </si>
  <si>
    <t>T2010</t>
  </si>
  <si>
    <t>Preadmission screening and resident review (pasrr) level i identification screening, per screen</t>
  </si>
  <si>
    <t>T2011</t>
  </si>
  <si>
    <t>Preadmission screening and resident review (pasrr) level ii evaluation, per evaluation</t>
  </si>
  <si>
    <t>T2012</t>
  </si>
  <si>
    <t>Habilitation, educational; waiver, per diem</t>
  </si>
  <si>
    <t>T2013</t>
  </si>
  <si>
    <t>Habilitation, educational, waiver; per hour</t>
  </si>
  <si>
    <t>T2014</t>
  </si>
  <si>
    <t>Habilitation, prevocational, waiver; per diem</t>
  </si>
  <si>
    <t>T2015</t>
  </si>
  <si>
    <t>Habilitation, prevocational, waiver; per hour</t>
  </si>
  <si>
    <t>T2016</t>
  </si>
  <si>
    <t>Habilitation, residential, waiver; per diem</t>
  </si>
  <si>
    <t>T2017</t>
  </si>
  <si>
    <t>Habilitation, residential, waiver; 15 minutes</t>
  </si>
  <si>
    <t>T2018</t>
  </si>
  <si>
    <t>Habilitation, supported employment, waiver; per diem</t>
  </si>
  <si>
    <t>T2019</t>
  </si>
  <si>
    <t>Habilitation, supported employment, waiver; per 15 minutes</t>
  </si>
  <si>
    <t>T2020</t>
  </si>
  <si>
    <t>Day habilitation, waiver; per diem</t>
  </si>
  <si>
    <t>T2021</t>
  </si>
  <si>
    <t>Day habilitation, waiver; per 15 minutes</t>
  </si>
  <si>
    <t>T2022</t>
  </si>
  <si>
    <t>Case management, per month</t>
  </si>
  <si>
    <t>T2023</t>
  </si>
  <si>
    <t>Targeted case management; per month</t>
  </si>
  <si>
    <t>T2024</t>
  </si>
  <si>
    <t>Service assessment/plan of care development, waiver</t>
  </si>
  <si>
    <t>T2025</t>
  </si>
  <si>
    <t>Waiver services; not otherwise specified (nos)</t>
  </si>
  <si>
    <t>T2026</t>
  </si>
  <si>
    <t>Specialized childcare, waiver; per diem</t>
  </si>
  <si>
    <t>T2027</t>
  </si>
  <si>
    <t>Specialized childcare, waiver; per 15 minutes</t>
  </si>
  <si>
    <t>T2028</t>
  </si>
  <si>
    <t>Specialized supply, not otherwise specified, waiver</t>
  </si>
  <si>
    <t>T2029</t>
  </si>
  <si>
    <t>Specialized medical equipment, not otherwise specified, waiver</t>
  </si>
  <si>
    <t>T2030</t>
  </si>
  <si>
    <t>Assisted living, waiver; per month</t>
  </si>
  <si>
    <t>T2031</t>
  </si>
  <si>
    <t>Assisted living; waiver, per diem</t>
  </si>
  <si>
    <t>T2032</t>
  </si>
  <si>
    <t>Residential care, not otherwise specified (nos), waiver; per month</t>
  </si>
  <si>
    <t>T2033</t>
  </si>
  <si>
    <t>Residential care, not otherwise specified (nos), waiver; per diem</t>
  </si>
  <si>
    <t>T2034</t>
  </si>
  <si>
    <t>Crisis intervention, waiver; per diem</t>
  </si>
  <si>
    <t>T2035</t>
  </si>
  <si>
    <t>Utility services to support medical equipment and assistive technology/devices, waiver</t>
  </si>
  <si>
    <t>T2036</t>
  </si>
  <si>
    <t>Therapeutic camping, overnight, waiver; each session</t>
  </si>
  <si>
    <t>T2037</t>
  </si>
  <si>
    <t>Therapeutic camping, day, waiver; each session</t>
  </si>
  <si>
    <t>T2038</t>
  </si>
  <si>
    <t>Community transition, waiver; per service</t>
  </si>
  <si>
    <t>T2039</t>
  </si>
  <si>
    <t>Vehicle modifications, waiver; per service</t>
  </si>
  <si>
    <t>T2040</t>
  </si>
  <si>
    <t>Financial management, self-directed, waiver; per 15 minutes</t>
  </si>
  <si>
    <t>T2041</t>
  </si>
  <si>
    <t>Supports brokerage, self-directed, waiver; per 15 minutes</t>
  </si>
  <si>
    <t>T2042</t>
  </si>
  <si>
    <t>Hospice routine home care; per diem</t>
  </si>
  <si>
    <t>T2043</t>
  </si>
  <si>
    <t>Hospice continuous home care; per hour</t>
  </si>
  <si>
    <t>T2044</t>
  </si>
  <si>
    <t>Hospice inpatient respite care; per diem</t>
  </si>
  <si>
    <t>T2045</t>
  </si>
  <si>
    <t>Hospice general inpatient care; per diem</t>
  </si>
  <si>
    <t>T2046</t>
  </si>
  <si>
    <t>Hospice long term care, room and board only; per diem</t>
  </si>
  <si>
    <t>T2048</t>
  </si>
  <si>
    <t>Behavioral health; long-term care residential (non-acute care in a residential treatment program where stay is typically longer than 30 days), with room and board, per diem</t>
  </si>
  <si>
    <t>T2049</t>
  </si>
  <si>
    <t>Non-emergency transportation; stretcher van, mileage; per mile</t>
  </si>
  <si>
    <t>T2101</t>
  </si>
  <si>
    <t>Human breast milk processing, storage and distribution only</t>
  </si>
  <si>
    <t>T4521</t>
  </si>
  <si>
    <t>Adult sized disposable incontinence product, brief/diaper, small, each</t>
  </si>
  <si>
    <t>T4522</t>
  </si>
  <si>
    <t>Adult sized disposable incontinence product, brief/diaper, medium, each</t>
  </si>
  <si>
    <t>T4523</t>
  </si>
  <si>
    <t>Adult sized disposable incontinence product, brief/diaper, large, each</t>
  </si>
  <si>
    <t>T4524</t>
  </si>
  <si>
    <t>Adult sized disposable incontinence product, brief/diaper, extra-large, each</t>
  </si>
  <si>
    <t>T4525</t>
  </si>
  <si>
    <t>Adult sized disposable incontinence product, protective underwear/pull-on, small size, each</t>
  </si>
  <si>
    <t>T4526</t>
  </si>
  <si>
    <t>Adult sized disposable incontinence product, protective underwear/pull-on, medium size, each</t>
  </si>
  <si>
    <t>T4527</t>
  </si>
  <si>
    <t>Adult sized disposable incontinence product, protective underwear/pull-on, large size, each</t>
  </si>
  <si>
    <t>T4528</t>
  </si>
  <si>
    <t>Adult sized disposable incontinence product, protective underwear/pull-on, extra-large size, each</t>
  </si>
  <si>
    <t>T4529</t>
  </si>
  <si>
    <t>Pediatric sized disposable incontinence product, brief/diaper, small/medium size, each</t>
  </si>
  <si>
    <t>T4530</t>
  </si>
  <si>
    <t>Pediatric sized disposable incontinence product, brief/diaper, large size, each</t>
  </si>
  <si>
    <t>T4531</t>
  </si>
  <si>
    <t>Pediatric sized disposable incontinence product, protective  underwear/pull-on, small/medium size, each</t>
  </si>
  <si>
    <t>T4532</t>
  </si>
  <si>
    <t>Pediatric sized disposable incontinence product, protective underwear/pull-on, large size, each</t>
  </si>
  <si>
    <t>T4533</t>
  </si>
  <si>
    <t>Youth sized disposable incontinence product, brief/diaper, each</t>
  </si>
  <si>
    <t>T4534</t>
  </si>
  <si>
    <t>Youth sized disposable incontinence product, protective underwear/pull-on, each</t>
  </si>
  <si>
    <t>T4535</t>
  </si>
  <si>
    <t>Disposable liner/shield/guard/pad/undergarment, for incontinence, each</t>
  </si>
  <si>
    <t>T4536</t>
  </si>
  <si>
    <t>Incontinence product, protective underwear/pull-on, reusable, any size, each</t>
  </si>
  <si>
    <t>T4537</t>
  </si>
  <si>
    <t>Incontinence product, protective underpad, reusable, bed size, each</t>
  </si>
  <si>
    <t>T4538</t>
  </si>
  <si>
    <t>Diaper service, reusable diaper, each diaper</t>
  </si>
  <si>
    <t>T4539</t>
  </si>
  <si>
    <t>Incontinence product, diaper/brief, reusable, any size, each</t>
  </si>
  <si>
    <t>T4540</t>
  </si>
  <si>
    <t>Incontinence product, protective underpad, reusable, chair size, each</t>
  </si>
  <si>
    <t>T4541</t>
  </si>
  <si>
    <t>Incontinence product, disposable underpad, large, each</t>
  </si>
  <si>
    <t>T4542</t>
  </si>
  <si>
    <t>Incontinence product, disposable underpad, small size, each</t>
  </si>
  <si>
    <t>T4543</t>
  </si>
  <si>
    <t>Adult sized disposable incontinence product, protective brief/diaper, above extra-large, each</t>
  </si>
  <si>
    <t>T4544</t>
  </si>
  <si>
    <t>Adult sized disposable incontinence product, protective underwear/pull-on, above extra-large, each</t>
  </si>
  <si>
    <t>T5001</t>
  </si>
  <si>
    <t>Positioning seat for persons with special orthopedic needs</t>
  </si>
  <si>
    <t>T5999</t>
  </si>
  <si>
    <t>Supply, not otherwise specified</t>
  </si>
  <si>
    <t>V2020-V2799</t>
  </si>
  <si>
    <t>V5008-V5364</t>
  </si>
  <si>
    <t>Hearing</t>
  </si>
  <si>
    <t>Home infusion or specialty drug administration per visit up to 2 hours</t>
  </si>
  <si>
    <t>Home infusion or specialty drug administration per visit</t>
  </si>
  <si>
    <r>
      <rPr>
        <b/>
        <sz val="11"/>
        <color rgb="FFFF0000"/>
        <rFont val="Arial"/>
        <family val="2"/>
      </rPr>
      <t>Note</t>
    </r>
    <r>
      <rPr>
        <b/>
        <sz val="11"/>
        <rFont val="Arial"/>
        <family val="2"/>
      </rPr>
      <t xml:space="preserve">: </t>
    </r>
    <r>
      <rPr>
        <sz val="11"/>
        <rFont val="Arial"/>
        <family val="2"/>
      </rPr>
      <t>If there are pre-defined rules and instructions available regarding the split of Medicare/Medicaid claims I.E. SNF days for Medicare are limited to 100 days then apply the rule to the logic below. When recording expenses in Schedules 3A-3C, include IBNR in reported expenses.</t>
    </r>
  </si>
  <si>
    <t>Medicare and Medicaid Benefit Grid</t>
  </si>
  <si>
    <t>Part 2: HCPCS Codes Explicitly not covered by Medicare</t>
  </si>
  <si>
    <t>Codes not covered by Medicare</t>
  </si>
  <si>
    <t>CODES:</t>
  </si>
  <si>
    <t>D = Special coverage instructions apply</t>
  </si>
  <si>
    <t>I = Not payable by Medicare</t>
  </si>
  <si>
    <t>M = Non-covered by Medicare</t>
  </si>
  <si>
    <t>S = Non-covered by Medicare statute</t>
  </si>
  <si>
    <t>C = Carrier judgment</t>
  </si>
  <si>
    <t>Category of Service Technical Specifications Mapping Grid</t>
  </si>
  <si>
    <t>Schedule 1: Enrollment</t>
  </si>
  <si>
    <t>All Other</t>
  </si>
  <si>
    <t>Schedule 11A: Lag Report - Physician</t>
  </si>
  <si>
    <t>Schedule 11B: Lag Report - Inpatient</t>
  </si>
  <si>
    <t>Schedule 11C: Lag Report - Outpatient</t>
  </si>
  <si>
    <t>Schedule 11D: Lag Report - Pharmacy</t>
  </si>
  <si>
    <t>Schedule 11E: Lag Report - Other</t>
  </si>
  <si>
    <t>Total Claim Payments 
(Total Lines 1 Through 31)</t>
  </si>
  <si>
    <t>Investment Income</t>
  </si>
  <si>
    <t>All investment income earned during the period. Interest earned from all sources including escrow and reserve accounts.</t>
  </si>
  <si>
    <t>Medical Services Definition Line</t>
  </si>
  <si>
    <t>Schedule 3 Line #</t>
  </si>
  <si>
    <t>Appendix D: Reporting Requirements</t>
  </si>
  <si>
    <t>The objective of this Financial Reporting Template is to ensure uniformity, accuracy and completeness in financial reporting for the Massachusetts Senior Care Options (SCO) program. In addition, the provision of this Financial Reporting Template to the SCOs will help to eliminate inconsistencies, as reports can vary in the presentation of items such as allocation of expenses, accrual of incurred-but-not-reported (IBNR) claims and other items. All reports shall be submitted as outlined in the general instructions. The financial data submitted from this Financial Reporting Template will be used to monitor SCO performance, encounter submissions and will be used in rate setting.</t>
  </si>
  <si>
    <t>Reporting Guidelines</t>
  </si>
  <si>
    <t>General Instructions</t>
  </si>
  <si>
    <t>Generally Accepted Accounting Principles (GAAP) must be used to meet the financial reporting requirements and submissions within the template</t>
  </si>
  <si>
    <t>Report medical expenses by date of service (DOS)</t>
  </si>
  <si>
    <t xml:space="preserve">2.11 (A)(1) Minimum Net Worth </t>
  </si>
  <si>
    <t xml:space="preserve">2.11 (A)(2) Working Capital  </t>
  </si>
  <si>
    <t xml:space="preserve">2.11(B)(2) Insolvency Reserve </t>
  </si>
  <si>
    <r>
      <t xml:space="preserve">S5100, S5102, </t>
    </r>
    <r>
      <rPr>
        <b/>
        <sz val="10"/>
        <color theme="7" tint="-0.499984740745262"/>
        <rFont val="Arial"/>
        <family val="2"/>
      </rPr>
      <t>T2003</t>
    </r>
  </si>
  <si>
    <r>
      <t xml:space="preserve">Change-Updated Range of Codes
</t>
    </r>
    <r>
      <rPr>
        <b/>
        <sz val="10"/>
        <color theme="7" tint="-0.499984740745262"/>
        <rFont val="Arial"/>
        <family val="2"/>
      </rPr>
      <t>Too many to list * See Appendix A</t>
    </r>
  </si>
  <si>
    <t>Too many to list * See Appendix A</t>
  </si>
  <si>
    <t>See Part2: Codes not covered by Medicare</t>
  </si>
  <si>
    <t>See Appendix A</t>
  </si>
  <si>
    <t>The Contractor shall report the following data related to the specific entity which will directly operate the Senior Care Options Program (i.e., not the parent organization and/or affiliate): Financial data related to cost for the Massachusetts SCO covered population. The report shall be submitted in a form and format specified by EOHHS including, but not limited to, the following:
a. Member Enrollment and Disenrollment
b. Balance Sheet containing the SCO product line net worth and working capital as set forth in Section 2.11: Financial Requirements
c. Income Statement
d. Cash Flow
e. Financial Indicators
f. Utilization
g. Solvency Requirements as set forth in Section 2.11.B
h. Financial to encounter submission reconciliation</t>
  </si>
  <si>
    <t>Net Premium earned but not yet received.</t>
  </si>
  <si>
    <t>Buildings owned by the Contractor, including buildings under a capital lease and improvements to buildings owned by the Contractor. Exclude improvements made to leased or rented buildings or offices.</t>
  </si>
  <si>
    <t>Amounts due to provider organization entities because of a contractual incentive or shared-risk relationship with the Contractor. Exclude risk pool receivable amounts.</t>
  </si>
  <si>
    <t>The total current portion of long-term debt, which will include the principal amount on loans, notes and capital lease obligations due within one year of the balance sheet date. Exclude long-term portion of and accrued interest on loans, notes and capital lease obligations.</t>
  </si>
  <si>
    <t>The total non-current portion of long-term debt, which will include the long-term portion of principal on loans, notes and capital lease obligations. Exclude current portion of and accrued interest on loans, notes and capital lease obligations.</t>
  </si>
  <si>
    <t>Interest Expense</t>
  </si>
  <si>
    <t>Utilization Admissions: A member admitted to an acute care inpatient facility; a member admitted to an acute care facility and subsequently transferred to another acute care facility; a member admitted resulting from their emergency room visit; and a member hospitalized at the time of enrollment. If there are multiple bills for the same admission, the admission still only counts for one admit.
Patient Days: The number of patient days of care provided during the quarter. Count each day during the quarter related to the hospital stay regardless of the payer; this would include all of the patient days for patients admitted from the emergency room. For new members previously hospitalized on the day of enrollment, count only the days beginning with the date of enrollment.
Scripts – Each claim counts as one script. 
Units – These are defined as the Units Billed on the claim, and are primarily used for every service besides Inpatient, ER, and Pharmacy. These counts will be used for validation of encounter data and reasonableness only.</t>
  </si>
  <si>
    <t>These are services that are diagnostic, preventive, or corrective procedures provided by, or under the supervision of, a dentist in the practice of his/her profession including treatment of:
• The teeth and associated structures of the oral cavity; and
• Disease, injury, or impairment that may affect the oral or general health of the recipient. Dentist means an individual licensed to practice dentistry or dental surgery.
NOTE: Exclude all such services provided as part of inpatient hospital, outpatient hospital, non-dental, clinic or laboratory services and billed for by the hospital, non-dental clinic, or laboratory.</t>
  </si>
  <si>
    <t>All X-rays, including portable X-rays, magnetic resonance imagery (MRI), radiation therapy, and radiological services. All services necessary for the diagnosis, treatment, and prevention of disease, and for the maintenance of the health of Enrollees. Report X-rays by dentists under Dental, Line 7.</t>
  </si>
  <si>
    <t>Material Adjustments - Disclose and describe any material adjustments made during the current reporting period. 
Include those adjustments that may relate to a prior period, specifically IBNR adjustments, that affect the financial statements and provide detail for which period(s) the adjustment(s) relate.</t>
  </si>
  <si>
    <t>Claims Payment Fluctuations Reported in the Lag Reports</t>
  </si>
  <si>
    <t>Allocation Methodologies Impacting the Income Statements</t>
  </si>
  <si>
    <t>I understand that whoever knowingly and willfully makes or causes to be made a false statement or representation on the reports may be prosecuted under the applicable state laws. In addition, knowingly and willfully failing to fully and accurately disclose the information requested may result in denial of a request to participate, or where the entity already participates, a termination of a Plan's agreement or contract with the Massachusetts Executive Office of Health and Human Services (EOHHS). Failure to sign a Certification Statement will result in EOHHS non-acceptance of the attached reports.</t>
  </si>
  <si>
    <t>Schedule 2: Balance Sheet</t>
  </si>
  <si>
    <t>Schedule 3: Income Statement</t>
  </si>
  <si>
    <t>Schedule 5: Statement of Cash Flow</t>
  </si>
  <si>
    <t>Schedule 6: Medical Expense Summary</t>
  </si>
  <si>
    <t>Schedule 7: Utilization</t>
  </si>
  <si>
    <t>Schedule 8: Financial Indicators</t>
  </si>
  <si>
    <t>Schedule 9: Financial Solvency Requirements</t>
  </si>
  <si>
    <t>Settlements</t>
  </si>
  <si>
    <t>Pharmacy/Drugs (Part D) GROSS</t>
  </si>
  <si>
    <t>Pharmacy/Drugs (Part D) NET</t>
  </si>
  <si>
    <t>Pharmacy/Drugs (non-Part D) GROSS</t>
  </si>
  <si>
    <t>Pharmacy/Drugs (non-Part D) NET</t>
  </si>
  <si>
    <t>10a</t>
  </si>
  <si>
    <t>10b</t>
  </si>
  <si>
    <t>11a</t>
  </si>
  <si>
    <t>11b</t>
  </si>
  <si>
    <t>Refer to Medical Services Definitions Tab. Deduct pharmacy rebates.</t>
  </si>
  <si>
    <t>0010a</t>
  </si>
  <si>
    <t>0010b</t>
  </si>
  <si>
    <t>0011a</t>
  </si>
  <si>
    <t>0011b</t>
  </si>
  <si>
    <t>21-25</t>
  </si>
  <si>
    <t xml:space="preserve">Refer to Medical Services Definitions Tab. Do not deduct pharmacy rebates. </t>
  </si>
  <si>
    <t>9, 10b or 11b</t>
  </si>
  <si>
    <t>9,10 or 11</t>
  </si>
  <si>
    <t>Pharmacy - (Part D) NET</t>
  </si>
  <si>
    <t>Pharmacy - (Non Part D) NET</t>
  </si>
  <si>
    <t>Grand Total</t>
  </si>
  <si>
    <t xml:space="preserve">Claims with Claim Category code 5 = Prescription Drug. Do not deduct pharmacy rebates. </t>
  </si>
  <si>
    <t>Schedule 11</t>
  </si>
  <si>
    <t>S5140, S5141, T1028</t>
  </si>
  <si>
    <t>Start with 10004 - These codes are resequenced and should be part of the range.</t>
  </si>
  <si>
    <r>
      <rPr>
        <sz val="10"/>
        <color rgb="FF0070C0"/>
        <rFont val="Arial"/>
        <family val="2"/>
      </rPr>
      <t>10004</t>
    </r>
    <r>
      <rPr>
        <strike/>
        <sz val="10"/>
        <rFont val="Arial"/>
        <family val="2"/>
      </rPr>
      <t>10021</t>
    </r>
    <r>
      <rPr>
        <sz val="10"/>
        <rFont val="Arial"/>
        <family val="2"/>
      </rPr>
      <t>-69999</t>
    </r>
  </si>
  <si>
    <t xml:space="preserve">For informational reasons only: M1143 - Initiated episode of rehabilitation therapy, medical, or chiropractic care for neck impairment. This new code is used for quality measures and is not reimburseable in 2020. </t>
  </si>
  <si>
    <t>Add S5120 (Chore services; per 15 minutes)</t>
  </si>
  <si>
    <r>
      <t xml:space="preserve">S5121, </t>
    </r>
    <r>
      <rPr>
        <sz val="10"/>
        <color rgb="FF0070C0"/>
        <rFont val="Arial"/>
        <family val="2"/>
      </rPr>
      <t>S5120</t>
    </r>
  </si>
  <si>
    <t xml:space="preserve">Consider adding S9470 - Nutritional counseling, dietitian visit </t>
  </si>
  <si>
    <t xml:space="preserve">Consider adding S9122 - Home health aide or certified nurse assistant, providing care in the home; per hour </t>
  </si>
  <si>
    <t>Remove E0602-E0604 (Breast pumps). Add K0740 (Repair or non-routine service for oxygen equipment requiring the skill of a technician, labor component, 15 min)</t>
  </si>
  <si>
    <r>
      <t>A4611-A4629, A7000-A7048, E0424-</t>
    </r>
    <r>
      <rPr>
        <sz val="10"/>
        <color rgb="FF7030A0"/>
        <rFont val="Arial"/>
        <family val="2"/>
      </rPr>
      <t>E0601</t>
    </r>
    <r>
      <rPr>
        <sz val="10"/>
        <rFont val="Arial"/>
        <family val="2"/>
      </rPr>
      <t xml:space="preserve">, E1352-E1406, K0730, K0738, </t>
    </r>
    <r>
      <rPr>
        <sz val="10"/>
        <color rgb="FF7030A0"/>
        <rFont val="Arial"/>
        <family val="2"/>
      </rPr>
      <t>K0740</t>
    </r>
    <r>
      <rPr>
        <sz val="10"/>
        <rFont val="Arial"/>
        <family val="2"/>
      </rPr>
      <t>, S8097-S8186, S8210, S8999</t>
    </r>
  </si>
  <si>
    <t>Q2051 was terminated 1/1/2014. End range with Q2050.</t>
  </si>
  <si>
    <t xml:space="preserve">Add 90940 (Hemodialysis access flow study to determine blood flow in grafts and arteriovenous fistulae by an indicator method) to the Exclusion list. </t>
  </si>
  <si>
    <r>
      <t>J0120-J9999, Q0510-Q0515, Q2009-</t>
    </r>
    <r>
      <rPr>
        <sz val="10"/>
        <color rgb="FF7030A0"/>
        <rFont val="Arial"/>
        <family val="2"/>
      </rPr>
      <t>Q2050</t>
    </r>
    <r>
      <rPr>
        <sz val="10"/>
        <rFont val="Arial"/>
        <family val="2"/>
      </rPr>
      <t>, S0012-S0199</t>
    </r>
  </si>
  <si>
    <r>
      <t xml:space="preserve">90281-99999, Exclude 90999, 90989, 90993, 90945-90970, 90997, 90935, 90937, </t>
    </r>
    <r>
      <rPr>
        <sz val="10"/>
        <color rgb="FF7030A0"/>
        <rFont val="Arial"/>
        <family val="2"/>
      </rPr>
      <t>90940</t>
    </r>
    <r>
      <rPr>
        <sz val="10"/>
        <color rgb="FF0070C0"/>
        <rFont val="Arial"/>
        <family val="2"/>
      </rPr>
      <t xml:space="preserve">, </t>
    </r>
    <r>
      <rPr>
        <sz val="10"/>
        <rFont val="Arial"/>
        <family val="2"/>
      </rPr>
      <t>A4736-A4737, G0257</t>
    </r>
  </si>
  <si>
    <t>G code range only goes to G6017.</t>
  </si>
  <si>
    <t>Add G0491 (Dialysis procedure at a Medicare certified ESRD facility for acute kidney injury without ESRD) and G0492 (Dialysis procedure with single evaluation by a physician or other qualified health care professional for acute kidney injury without ESRD)</t>
  </si>
  <si>
    <r>
      <t xml:space="preserve">90999, 90989, 90993, 90945-90970, 90997, 90935, 90937, A4736-A4737, G0257, </t>
    </r>
    <r>
      <rPr>
        <sz val="10"/>
        <color rgb="FF7030A0"/>
        <rFont val="Arial"/>
        <family val="2"/>
      </rPr>
      <t>G0491-G0492</t>
    </r>
  </si>
  <si>
    <r>
      <t>70010-79999, G6001</t>
    </r>
    <r>
      <rPr>
        <sz val="10"/>
        <color rgb="FF0070C0"/>
        <rFont val="Arial"/>
        <family val="2"/>
      </rPr>
      <t>-</t>
    </r>
    <r>
      <rPr>
        <sz val="10"/>
        <color rgb="FF7030A0"/>
        <rFont val="Arial"/>
        <family val="2"/>
      </rPr>
      <t>G6017</t>
    </r>
  </si>
  <si>
    <t>H2014</t>
  </si>
  <si>
    <r>
      <t xml:space="preserve">T1019, T1020, 99509, </t>
    </r>
    <r>
      <rPr>
        <b/>
        <sz val="10"/>
        <rFont val="Arial"/>
        <family val="2"/>
      </rPr>
      <t>A0170, 99456, T1022, T1023, T2022</t>
    </r>
  </si>
  <si>
    <t>T1000, T1002, T1002 TT, T1002 TU, T1002 U1-U4, T1003, T1003 TT, T1003 TU, T1003 U1 - U4</t>
  </si>
  <si>
    <t>S5120, S5121</t>
  </si>
  <si>
    <r>
      <rPr>
        <b/>
        <sz val="10"/>
        <color theme="7" tint="-0.499984740745262"/>
        <rFont val="Arial"/>
        <family val="2"/>
      </rPr>
      <t>T1016.</t>
    </r>
    <r>
      <rPr>
        <sz val="10"/>
        <rFont val="Arial"/>
        <family val="2"/>
      </rPr>
      <t xml:space="preserve"> </t>
    </r>
    <r>
      <rPr>
        <b/>
        <sz val="10"/>
        <color theme="7" tint="-0.499984740745262"/>
        <rFont val="Arial"/>
        <family val="2"/>
      </rPr>
      <t>T1017</t>
    </r>
  </si>
  <si>
    <r>
      <t xml:space="preserve">S4993, S4989, A4261, A4266-A4269, J1050, J7296 -  </t>
    </r>
    <r>
      <rPr>
        <strike/>
        <sz val="10"/>
        <rFont val="Arial"/>
        <family val="2"/>
      </rPr>
      <t xml:space="preserve"> J7300-</t>
    </r>
    <r>
      <rPr>
        <sz val="10"/>
        <rFont val="Arial"/>
        <family val="2"/>
      </rPr>
      <t xml:space="preserve"> J7307, 11976</t>
    </r>
  </si>
  <si>
    <r>
      <t xml:space="preserve">03XX, Home Health: G0151-G0156, G0159-G0161, G0299, G0300, T1002, T1003, T1022, S9123, S9124, T1000, T1030 and T1031, </t>
    </r>
    <r>
      <rPr>
        <b/>
        <sz val="10"/>
        <rFont val="Arial"/>
        <family val="2"/>
      </rPr>
      <t>T1502, T1503</t>
    </r>
  </si>
  <si>
    <t>T1002, T1003</t>
  </si>
  <si>
    <r>
      <t>Bill Type 81* and 82*
Q5001-Q5010,</t>
    </r>
    <r>
      <rPr>
        <strike/>
        <sz val="10"/>
        <rFont val="Arial"/>
        <family val="2"/>
      </rPr>
      <t xml:space="preserve"> </t>
    </r>
    <r>
      <rPr>
        <sz val="10"/>
        <rFont val="Arial"/>
        <family val="2"/>
      </rPr>
      <t xml:space="preserve">G0155, G0337, S0255, S9126, T2042-T2046, </t>
    </r>
    <r>
      <rPr>
        <b/>
        <sz val="10"/>
        <rFont val="Arial"/>
        <family val="2"/>
      </rPr>
      <t>G0299</t>
    </r>
  </si>
  <si>
    <t>H0043</t>
  </si>
  <si>
    <t>96151-96155 were terminated 12/31/19.  Use 96156-96171 as replacement.</t>
  </si>
  <si>
    <r>
      <t xml:space="preserve">99078, </t>
    </r>
    <r>
      <rPr>
        <strike/>
        <sz val="10"/>
        <color rgb="FFFF0000"/>
        <rFont val="Arial"/>
        <family val="2"/>
      </rPr>
      <t>96150-96155</t>
    </r>
    <r>
      <rPr>
        <sz val="10"/>
        <rFont val="Arial"/>
        <family val="2"/>
      </rPr>
      <t xml:space="preserve">, </t>
    </r>
    <r>
      <rPr>
        <sz val="10"/>
        <color rgb="FF7030A0"/>
        <rFont val="Arial"/>
        <family val="2"/>
      </rPr>
      <t>96156-96171</t>
    </r>
    <r>
      <rPr>
        <sz val="10"/>
        <rFont val="Arial"/>
        <family val="2"/>
      </rPr>
      <t xml:space="preserve">, 99406-99407, 99381-99397, </t>
    </r>
    <r>
      <rPr>
        <strike/>
        <sz val="10"/>
        <color rgb="FFFF0000"/>
        <rFont val="Arial"/>
        <family val="2"/>
      </rPr>
      <t>G0436-G0437</t>
    </r>
    <r>
      <rPr>
        <strike/>
        <sz val="10"/>
        <rFont val="Arial"/>
        <family val="2"/>
      </rPr>
      <t xml:space="preserve">, </t>
    </r>
    <r>
      <rPr>
        <sz val="10"/>
        <rFont val="Arial"/>
        <family val="2"/>
      </rPr>
      <t>G9016, S9453</t>
    </r>
  </si>
  <si>
    <t>Add S9129 (Occupational therapy, in the home, per diem)</t>
  </si>
  <si>
    <t>97001-97003 were terminated 1/1/2017. Add S9131 (Physical therapy, in the home, per diem)</t>
  </si>
  <si>
    <t>Suggest removeing the hearing testing codes 92552-92588 as these are not therapies.</t>
  </si>
  <si>
    <r>
      <t xml:space="preserve">97535, </t>
    </r>
    <r>
      <rPr>
        <sz val="10"/>
        <color rgb="FF0070C0"/>
        <rFont val="Arial"/>
        <family val="2"/>
      </rPr>
      <t>97165-97168, S9129</t>
    </r>
  </si>
  <si>
    <r>
      <t>92507, 92508, 92521-92524, S9152, S9128,</t>
    </r>
    <r>
      <rPr>
        <b/>
        <sz val="10"/>
        <rFont val="Arial"/>
        <family val="2"/>
      </rPr>
      <t xml:space="preserve"> </t>
    </r>
    <r>
      <rPr>
        <b/>
        <sz val="10"/>
        <color theme="7" tint="-0.499984740745262"/>
        <rFont val="Arial"/>
        <family val="2"/>
      </rPr>
      <t>92526, 92610, 92552-92588</t>
    </r>
  </si>
  <si>
    <r>
      <rPr>
        <b/>
        <strike/>
        <sz val="10"/>
        <color rgb="FFFF0000"/>
        <rFont val="Arial"/>
        <family val="2"/>
      </rPr>
      <t>97001-97003</t>
    </r>
    <r>
      <rPr>
        <sz val="10"/>
        <rFont val="Arial"/>
        <family val="2"/>
      </rPr>
      <t xml:space="preserve">, </t>
    </r>
    <r>
      <rPr>
        <b/>
        <sz val="10"/>
        <color theme="7" tint="-0.499984740745262"/>
        <rFont val="Arial"/>
        <family val="2"/>
      </rPr>
      <t>97010-97035</t>
    </r>
    <r>
      <rPr>
        <sz val="10"/>
        <rFont val="Arial"/>
        <family val="2"/>
      </rPr>
      <t xml:space="preserve">, </t>
    </r>
    <r>
      <rPr>
        <sz val="10"/>
        <color rgb="FF0070C0"/>
        <rFont val="Arial"/>
        <family val="2"/>
      </rPr>
      <t>97161-97164,</t>
    </r>
    <r>
      <rPr>
        <sz val="10"/>
        <rFont val="Arial"/>
        <family val="2"/>
      </rPr>
      <t xml:space="preserve"> 97110-97116, 97140-97530, 97750, </t>
    </r>
    <r>
      <rPr>
        <b/>
        <sz val="10"/>
        <color theme="7" tint="-0.499984740745262"/>
        <rFont val="Arial"/>
        <family val="2"/>
      </rPr>
      <t xml:space="preserve">97799, </t>
    </r>
    <r>
      <rPr>
        <b/>
        <sz val="10"/>
        <color rgb="FF7030A0"/>
        <rFont val="Arial"/>
        <family val="2"/>
      </rPr>
      <t>S9131</t>
    </r>
  </si>
  <si>
    <t>Add H2016 (Comprehensive community support services, per diem)</t>
  </si>
  <si>
    <t>Add 90839-90840 (Psychotherapy for crisis) and S9484 (Crisis intervention mental health services, per hour)</t>
  </si>
  <si>
    <r>
      <t>H0036, H0037, H2015,</t>
    </r>
    <r>
      <rPr>
        <sz val="10"/>
        <color rgb="FF0070C0"/>
        <rFont val="Arial"/>
        <family val="2"/>
      </rPr>
      <t xml:space="preserve"> </t>
    </r>
    <r>
      <rPr>
        <sz val="10"/>
        <color rgb="FF7030A0"/>
        <rFont val="Arial"/>
        <family val="2"/>
      </rPr>
      <t>H2016</t>
    </r>
  </si>
  <si>
    <r>
      <rPr>
        <sz val="10"/>
        <color rgb="FF7030A0"/>
        <rFont val="Arial"/>
        <family val="2"/>
      </rPr>
      <t>90839-90840</t>
    </r>
    <r>
      <rPr>
        <sz val="10"/>
        <rFont val="Arial"/>
        <family val="2"/>
      </rPr>
      <t xml:space="preserve">, H2011, </t>
    </r>
    <r>
      <rPr>
        <sz val="10"/>
        <color rgb="FF7030A0"/>
        <rFont val="Arial"/>
        <family val="2"/>
      </rPr>
      <t>S9484</t>
    </r>
    <r>
      <rPr>
        <sz val="10"/>
        <color rgb="FF0070C0"/>
        <rFont val="Arial"/>
        <family val="2"/>
      </rPr>
      <t xml:space="preserve"> </t>
    </r>
  </si>
  <si>
    <r>
      <t xml:space="preserve">A0021-A0210, A0130, A0426, A0428, A0888, A0998, </t>
    </r>
    <r>
      <rPr>
        <sz val="10"/>
        <color rgb="FF7030A0"/>
        <rFont val="Arial"/>
        <family val="2"/>
      </rPr>
      <t>S0209,</t>
    </r>
    <r>
      <rPr>
        <sz val="10"/>
        <rFont val="Arial"/>
        <family val="2"/>
      </rPr>
      <t xml:space="preserve"> S0215, T2001-T2007, T2049, X0147</t>
    </r>
  </si>
  <si>
    <t>Add S0209 (Wheelchair van, mileage, per mile).</t>
  </si>
  <si>
    <r>
      <t xml:space="preserve">Long term care provided in an institutional setting. Including Skilled Nursing Facility services provided by Medicaid certified nursing homes, which primarily provide three types of services:
• Skilled nursing or medical care and related services.
• Rehabilitation needed due to injury, disability, or illness.
• Long term care — health-related care and services (above the level of room and board) not available in the community, needed regularly due to a mental or physical condition. Include other long term facility services such as nursing, medical social work, assistance with activities of daily living, therapies, nutrition, and drugs and biologicals provided at a skilled nursing facility or other nursing facilities.
</t>
    </r>
    <r>
      <rPr>
        <b/>
        <sz val="10"/>
        <color indexed="8"/>
        <rFont val="Arial"/>
        <family val="2"/>
      </rPr>
      <t>Expenses should be reported net of patient liability (SCO paid amount, only).</t>
    </r>
  </si>
  <si>
    <t>Calendar Year Key</t>
  </si>
  <si>
    <t>Total of Net Worth Categories (Lines 0054-0061), and including Unassigned Surplus (Line 0062).</t>
  </si>
  <si>
    <t>Total Incurred Claims (36+37)</t>
  </si>
  <si>
    <t>Exclude</t>
  </si>
  <si>
    <t>Pharmacy/Drugs (LICS \ Reinsurance)</t>
  </si>
  <si>
    <t>Pharmacy low-income cost-sharing (LICS) and reinsurance coverage: -Includes deductibles and cost- sharing during the coverage gap associated with the Part D benefit.</t>
  </si>
  <si>
    <t>Non-Claims</t>
  </si>
  <si>
    <t>Aging Service Access Points.</t>
  </si>
  <si>
    <t>Schedule 3 Comparison</t>
  </si>
  <si>
    <t>Schedule 3 Comparison checks for consistency between Schedule 3 and Schedule 6 reporting amounts. If there are inconsistencies, please explain them in the notes.</t>
  </si>
  <si>
    <t>Recoveries for reinsurance net of costs. Enter recoveries as negative and costs as positive. Do not include reinsurance recoveries in medical expenses categories above.</t>
  </si>
  <si>
    <t>Paid claims should include all claims paid, net of COB or fraud recoveries run through claims and encounters systems. COB or fraud recoveries not attributable to specific claims should be included in Non-Claims.</t>
  </si>
  <si>
    <t>Non-Claims includes other non-claims medical cost incurred for a specific set of SCO covered services.</t>
  </si>
  <si>
    <t>Reinsurance includes reinsurance expenses and recoveries.</t>
  </si>
  <si>
    <t>Medicare Paid Claims</t>
  </si>
  <si>
    <t>Medicaid Paid Claims</t>
  </si>
  <si>
    <t>Medicare Alternative Payment Methodologies</t>
  </si>
  <si>
    <t>Medicaid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</si>
  <si>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</si>
  <si>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Medicare in this column.</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</si>
  <si>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Medicaid in this column.</t>
  </si>
  <si>
    <t>Automatically calculated as Medicare Paid plus Medicare Alternative Payment Methodologies.</t>
  </si>
  <si>
    <t>Automatically calculated as Medicaid Paid plus Medicaid Alternative Payment Methodologies.</t>
  </si>
  <si>
    <t>Automatically calculated as Medicare Paid Claims plus Medicaid Paid Claims.</t>
  </si>
  <si>
    <t>Schedule 10: Alternative Payment Methodologies</t>
  </si>
  <si>
    <t>Schedule 10: APMs (Restated Basis)</t>
  </si>
  <si>
    <t>This report tracks the details of Alternative Payment Methodology (APM) expenses by the MCP. In the appropriate columns, enter the provider name, choose the applicable region from the drop down menus, and enter the applicable expense line item number and the amount of alternative payment by rate cell.</t>
  </si>
  <si>
    <t>Sum of Claims, APMs, Rx Rebates, Settlements, (32+33+34+35)</t>
  </si>
  <si>
    <t>Alternative Payment Methodologies (APMs)</t>
  </si>
  <si>
    <t xml:space="preserve">Calendar Year - Quarter 1 </t>
  </si>
  <si>
    <t>Calendar Year - Quarter 2</t>
  </si>
  <si>
    <t>Calendar Year - Quarter 3</t>
  </si>
  <si>
    <t>Calendar Year - Quarter 4</t>
  </si>
  <si>
    <t>Medical Loss Ratio</t>
  </si>
  <si>
    <t>Patient Contribution to Care Expenses</t>
  </si>
  <si>
    <t>Expenses recognized during the reporting period for Patient Contributions to Care paid to the SCO enrollees.</t>
  </si>
  <si>
    <t xml:space="preserve">Line items should exclude patient contribution to care except for line 0038. </t>
  </si>
  <si>
    <t xml:space="preserve">Line items should exclude patient contribution to care except for line 0006. </t>
  </si>
  <si>
    <t>Revenue from the Medicare (CMS) program to cover Medicare Part A, Part B and Part D services for SCO enrollees. Includes Medicare Part D LICS, Reinsurance and Risk Corridor. We expect LICS and reinsurance for Part D to equal line 0021 and then any payable/receivable related to LICS and reinsurance should be reflected on the balance sheet as a current asset or a liability.</t>
  </si>
  <si>
    <t>In Lieu of</t>
  </si>
  <si>
    <t>Out-of-Pocket and Non-State Plan Benefits</t>
  </si>
  <si>
    <t>Out-Of-Pocket and Non State Plan Services</t>
  </si>
  <si>
    <t>In Lieu of represents services provided instead of a covered service. Please provide an explanation of the in lieu of services provided in the notes.</t>
  </si>
  <si>
    <t>Out-of-Pocket and Non State Plan Services includes services not covered under the SCO contract and offered at the discretion of the plan. Please provide procedure codes in the notes for these services, or indicate that they are not present in the encounter data.</t>
  </si>
  <si>
    <t>Personal Care Attendant (PCA)</t>
  </si>
  <si>
    <t>Adult Foster Care (Including GAFC)</t>
  </si>
  <si>
    <t>Frail Elder Waiver (FEW) Services</t>
  </si>
  <si>
    <t>Services provided in the home and/or community including hands-on physical assistance with Activities of Daily Living (ADLs) and Instrumental Activities of Daily Living (IADLs) performed by a PCA.</t>
  </si>
  <si>
    <t>Services provided in the member’s residence; including but not limited to the following: home health skilled nursing, medication administration, home health aide, and physical, occupational, and speech/language therapies provided by home health agencies.</t>
  </si>
  <si>
    <t>Services provided in the community including but not limited to: assistance with ADLs, IADLs, other personal care as needed, nursing oversight, and AFC care management. These services are ordered by a primary care provider and delivered to a member in a qualified setting by a multidisciplinary team (MDT) AFC caregiver. 
For GAFC:
Services provided in the community including but not limited to: services ordered by a primary care provider delivered to a member in their home by a multidisciplinary team (MDT) and Direct Care Aide, that includes assistance with ADLs, IADLs, nursing oversight, and care management.</t>
  </si>
  <si>
    <t>Services provided in the community and non-residential including but not limited to: services that provide nursing care, supervision, and health related support services in a structured group setting to members who have physical, cognitive, or behavioral health impairments. The ADH service has a general goal of meeting the ADL and/or skilled nursing therapeutic needs of members.</t>
  </si>
  <si>
    <t>Services provided in the community including but not limited to: services for individuals with an intellectual disability (ID) or a developmental disability (DD), that is based on a day habilitation service plan that sets forth measurable goals and objectives, and prescribes an integrated program of activities and therapies necessary to reach the stated goals and objectives.</t>
  </si>
  <si>
    <t>FEW services include the following: Alzheimer’s/Dementia Coaching, Chore Companion, Complex Care Training and Oversight (formerly Skilled Nursing), Enhanced Technology/Cellular Personal Emergency Response System (PERS), Environmental Accessibility Adaptation, Evidence Based Education Programs, Goal Engagement Program, Grocery Shopping and Delivery, Home Based Wandering Response Systems, Home Delivered Meals, Home Delivery of Pre-packaged Medication, Home Health Aide, Home Safety/Independence Evaluations (formerly Occupational Therapy), Homemaker, Laundry, Medication Dispensing System, Orientation and Mobility Services, Peer Support, Personal Care Respite, Supportive Day Program, Supportive Home Care Aide, Transitional Assistance, and Transportation.</t>
  </si>
  <si>
    <t>Durable and disposable medical equipment - include costs of all medical appliances and supplies provided or utilized in the provision of medical services to SCO enrollees; for example, ventilators, beds, wheelchairs, suction machines, apnea monitors, orthotics, prosthetics, oxygen and supplies, decubitus care supplies, and tracheostomy supplies. Excludes costs associated with an inpatient hospital stay.</t>
  </si>
  <si>
    <t>Total Medical Expenses (the sum of lines 0013 through 0042, excluding line 0022 and 0024).</t>
  </si>
  <si>
    <t>Calculated line: the lesser of fraud reduction recoveries (line 0040) or fraud reduction expenses (line 0055), as allowable for MLR by 42 CFR 438.8e2iii(B).</t>
  </si>
  <si>
    <t>Total of Allowable Expenses that do not fall into medical expenses and are related to MLR Calculation that adhere to CMS cost principles described in 2 CFR 200.400-475. (the sum of lines 0044 through 0046).</t>
  </si>
  <si>
    <r>
      <t xml:space="preserve">Costs which are not appropriately assigned to the health plan administration categories defined in lines 0048 to 0057 above. </t>
    </r>
    <r>
      <rPr>
        <b/>
        <sz val="10"/>
        <color rgb="FFFF0000"/>
        <rFont val="Arial"/>
        <family val="2"/>
      </rPr>
      <t>For categories where the expense is greater than $250,000, provide an explanation of the expenses in the notes to the financial reports.</t>
    </r>
  </si>
  <si>
    <t>The total of costs of administration (the sum of lines 0048 through 0058).</t>
  </si>
  <si>
    <t>The sum of Total Medical Expenses (line 0043), Total Administration Expenses (line 0059) and Total MLR Calculation Allowable Expenses (line 0047) less the Lesser of Fraud Reduction Recoveries or Expense (line 0045).</t>
  </si>
  <si>
    <t>Total Revenue minus Total Expenses (line 0012 minus line 0060).</t>
  </si>
  <si>
    <t>Net Income divided by Total Revenue excluding Investment Income (Line 0061 divided by (Line 0012 minus line 0009)).</t>
  </si>
  <si>
    <t>Report the amount accrued and/or paid under pay for performance arrangements reported for the period. This footnote should include amounts related to pay for performance amounts included in Lines 0013 through 0042 of the Income Statements.</t>
  </si>
  <si>
    <t>3 Month Refresh</t>
  </si>
  <si>
    <t>6 Month Refresh</t>
  </si>
  <si>
    <t>9 Month Refresh</t>
  </si>
  <si>
    <t>30 days after 3 months of previous calendar year end</t>
  </si>
  <si>
    <t>30 days after 6 months of previous calendar year end</t>
  </si>
  <si>
    <t>30 days after 9 months of previous calendar year end</t>
  </si>
  <si>
    <t>SCO PROGRAM</t>
  </si>
  <si>
    <t>Include all other miscellaneous services not included in lines 1 through 24.</t>
  </si>
  <si>
    <t>If community based services are provided by the ASAPs; report under Care Management Line 23 of Medical Service Definitions.</t>
  </si>
  <si>
    <r>
      <t xml:space="preserve">Includes community based coordinated care services provided by licensed clinical staff, and GSSC. Payments to ASAPs should be moved to medical service definition line 24.  </t>
    </r>
    <r>
      <rPr>
        <sz val="10"/>
        <color rgb="FF7030A0"/>
        <rFont val="Arial"/>
        <family val="2"/>
      </rPr>
      <t>Reinstating T1016 and T1017.</t>
    </r>
  </si>
  <si>
    <t>YTD</t>
  </si>
  <si>
    <t>Combined</t>
  </si>
  <si>
    <t>14-19</t>
  </si>
  <si>
    <t>Personal Care Attendant (PCA), Home Health, Adult Foster Care (Including GAFC), Adult Day Health, Day Habilitation, Frail Elder Waiver (FEW) Services</t>
  </si>
  <si>
    <t>The purpose of lines 27-32 is for MassHealth's Encounter dashboarding process and totals will not tie to Schedule 3 totals.</t>
  </si>
  <si>
    <t>28-33</t>
  </si>
  <si>
    <t>Ratio of Total Administrative Expenses to Total Revenues excluding Investment Income (Line 0059 divided by (Line 0012 minus line 0009)).</t>
  </si>
  <si>
    <t>Provide an explanation of the revenue in "All Other Revenue" Line 0010. This line should be reported on a date of payment basis. Include revenue or capitation amount received from MassHealth not applicable to other lines, such as risk-corridor payments or any other non-withhold payment made outside of the capitation (Other Revenue-Medicaid). Include revenue or capitation amount received from CMS not applicable to other lines (Other Revenue-Medicare).
Provide explanation of expenses in "Other Miscellaneous" Line 0039. Discuss amounts included in the cost reports &gt;10% of the reporting category or any amount reported as “Other Non-Waiver” or “Other Waiver” Services.</t>
  </si>
  <si>
    <t>Sum of Paid Claims, IBNR, Non-Medical, Reinsurance, and In Lieu of columns.</t>
  </si>
  <si>
    <r>
      <t xml:space="preserve">Physical and surgical services provided by licensed medical professionals; including specialty physicians, nurse practitioners, podiatrists, chiropractors, and physical therapists. </t>
    </r>
    <r>
      <rPr>
        <b/>
        <sz val="10"/>
        <color indexed="8"/>
        <rFont val="Arial"/>
        <family val="2"/>
      </rPr>
      <t>Exclude all services provided and billed for by a hospital, clinic, or laboratory</t>
    </r>
    <r>
      <rPr>
        <sz val="10"/>
        <color indexed="8"/>
        <rFont val="Arial"/>
        <family val="2"/>
      </rPr>
      <t>. The services of professionals working under salary for a hospital, nursing facility, or other type of health care facility are reported with cost for that service. Include any services provided and billed by a physician under physician services with the exception of lab and X-ray services. Include such services provided and billed for by a physician under the lab and X-ray services category. If the physician or nurse is the enrollees primary case manager the physician/nurse is allowed to charge a flat fee; this fee is not truly a professional service, report the cost for the fee under Care Management line 23.</t>
    </r>
  </si>
  <si>
    <r>
      <t>Expenses associated with services provided by parent organization or affiliates.</t>
    </r>
    <r>
      <rPr>
        <b/>
        <sz val="10"/>
        <color rgb="FFFF0000"/>
        <rFont val="Arial"/>
        <family val="2"/>
      </rPr>
      <t xml:space="preserve"> If=or&gt;10% of line Total Expenses (line 0060), provide details in the notes to financial reports.</t>
    </r>
  </si>
  <si>
    <t>Ratio of Total Medical Expenses and Total MLR Calculation Allowable Expenses to Total Revenue excluding Patient Contribution to Care and Investment Income, net of premium taxes ((Line 0043 minus line 0042 plus Line 0047) divided by (Line 0012 minus lines 0006 and 0009)).</t>
  </si>
  <si>
    <t>Describe any significant changes from a financial perspective to reimbursement methodologies for providers that represent a significant component of the SCOs business.</t>
  </si>
  <si>
    <r>
      <t xml:space="preserve">Disclose the method by which the SCO satisfies the statutory deposit or performance bond requirement for the quarter. </t>
    </r>
    <r>
      <rPr>
        <sz val="10"/>
        <color rgb="FFFF0000"/>
        <rFont val="Arial"/>
        <family val="2"/>
      </rPr>
      <t>This disclosure is required whether or not the amounts are included in the financial statements</t>
    </r>
    <r>
      <rPr>
        <sz val="10"/>
        <color theme="1"/>
        <rFont val="Arial"/>
        <family val="2"/>
      </rPr>
      <t>. Also, indicate under or over funding of the required amount and the associated reasons.</t>
    </r>
  </si>
  <si>
    <t>Discuss the organization structure, location of its headquarters, and a brief summary of the operations of the SCO.</t>
  </si>
  <si>
    <t>Note: Schedule 6 should reconcile to Schedule 3A. Please describe any discrepancies in Notes.</t>
  </si>
  <si>
    <t>Total Medical Expenses (the sum of lines 0001 through 0025, excluding lines 0010b and 0011b).</t>
  </si>
  <si>
    <t>Claims with Claim Category code 3 = Dental.</t>
  </si>
  <si>
    <t>Claims with Claim Category code 1 = (Facility except LTC) and Type of Bill values 11x and 41x are defined as "Inpatient" (Claim Type I).</t>
  </si>
  <si>
    <t>Claims with Claim Category code 6 = LTC (Nursing Home, Chronic Care and Rehab).</t>
  </si>
  <si>
    <t>Claims with Claim Category code 2 = Professional &amp; 4 = Vision. Also includes transportation claims.</t>
  </si>
  <si>
    <t>All other claims with Claim Category code 1 are defined as “Outpatient” (Claim Type O).</t>
  </si>
  <si>
    <t>ASAPs</t>
  </si>
  <si>
    <t>Skilled Nursing Facility - Medicaid</t>
  </si>
  <si>
    <t>Aging Service Access Points (ASAPs)</t>
  </si>
  <si>
    <t>2.11(B)(3) Additional Security  (Promissory Note or Performance Bond)</t>
  </si>
  <si>
    <t>2.11(B)(3) Additional Security Used to Meet Insolvency Requirement</t>
  </si>
  <si>
    <t>Template Change Log</t>
  </si>
  <si>
    <t xml:space="preserve">Release Version </t>
  </si>
  <si>
    <t>Release Date</t>
  </si>
  <si>
    <t>Schedule</t>
  </si>
  <si>
    <t>Changes</t>
  </si>
  <si>
    <t>General</t>
  </si>
  <si>
    <t>A YTD table has been added.</t>
  </si>
  <si>
    <t>Line added to Medical Expense section to capture patient contribution to care expenses.
Renamed Medical Expense Ratio to Medical Loss Ratio.
Patient contribution to care expenses have been removed from the MLR calculation (revenue was already excluded).
ASAPs have been moved from an MLR Calculation Allowable Expense to a Medical Expense.
Community LTC has been split into PCA, HH, AFC, ADH, and Day Hab.
Home and Community Based Waiver has been renamed to FEW Services.
Medicaid and Medicare quarterly subtotals have been added.
A member months line has been included; this populates automatically off of Schedule 1.</t>
  </si>
  <si>
    <t>Renamed subcapitation items to Alternative Payment Methodologies (APMs).</t>
  </si>
  <si>
    <t>Updated submission dates for SFY22.
Updated instructions, definitions, and line references to align with other updates.</t>
  </si>
  <si>
    <t>Line item changes mirror those made in Schedule 3.
A YTD table has been added.
Service rollups have been added to more easily compare results to encounters.
Footnotes have been added/edited as needed.
Renamed subcapitation items to Alternative Payment Methodologies (APMs).
Added detail and subtotals for Medicare and Medicaid specific APM reporting.
Added checks to confirm Schedule 6 totals tie to Schedule 3 totals.
Added a column to report In-Lieu-Of expenses.
Renamed Out-Of-Pocket to Out-Of-Pocket and Non State Plan Services.</t>
  </si>
  <si>
    <t>Renamed Medical Expense Ratio to Medical Loss Ratio.
Updated MLR to exclude patient contribution to care.</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</si>
  <si>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Do not deduct pharmacy rebates. </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</si>
  <si>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Deduct pharmacy rebates. </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</si>
  <si>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Do not deduct pharmacy rebates. </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</si>
  <si>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Deduct pharmacy rebates. </t>
  </si>
  <si>
    <t>MLR Allowable Expense Ratio</t>
  </si>
  <si>
    <t>Community BH</t>
  </si>
  <si>
    <t>TBD</t>
  </si>
  <si>
    <t>All enrollees residing in the community who do not meet nursing home certifiable (NHC) criteria and do not have a diagnosis of Behvioral Health/Substance Use Disorder (BH/SUD).</t>
  </si>
  <si>
    <t xml:space="preserve">All enrollees residing in the community who do not meet NHC criteria and have a diagnosis of BH/SUD. The identification of BH/SUD diagnoses are based on observed International Classification of Diseases, Tenth Revision diagnosis codes from all Medicaid and Medicare Medicaid crossover claim types. </t>
  </si>
  <si>
    <t>Add: E0700, G0156, G0300, H0038, H0045, H2021, S0250, S5102, S5160, T2029, T5999
Remove: T1021</t>
  </si>
  <si>
    <r>
      <t xml:space="preserve">S5111, S5120, S5135, S5165, S5121, T2028 I / S5161 M, S5170, A9901, </t>
    </r>
    <r>
      <rPr>
        <strike/>
        <sz val="10"/>
        <color rgb="FFFF0000"/>
        <rFont val="Arial"/>
        <family val="2"/>
      </rPr>
      <t>T1021</t>
    </r>
    <r>
      <rPr>
        <sz val="10"/>
        <rFont val="Arial"/>
        <family val="2"/>
      </rPr>
      <t xml:space="preserve">, S5130, S5175, </t>
    </r>
    <r>
      <rPr>
        <strike/>
        <sz val="10"/>
        <rFont val="Arial"/>
        <family val="2"/>
      </rPr>
      <t>/</t>
    </r>
    <r>
      <rPr>
        <sz val="10"/>
        <rFont val="Arial"/>
        <family val="2"/>
      </rPr>
      <t xml:space="preserve"> A9279 M, S9129, T1019, T2025, G0299, S5101, S5125, T2038, T2003 OT / A0425 PM, </t>
    </r>
    <r>
      <rPr>
        <sz val="10"/>
        <color rgb="FF7030A0"/>
        <rFont val="Arial"/>
        <family val="2"/>
      </rPr>
      <t>E0700, G0156, G0300, H0038, H0045, H2021, S0250, S5102, S5160, T2029, T5999</t>
    </r>
  </si>
  <si>
    <t>Eastern</t>
  </si>
  <si>
    <t>Western</t>
  </si>
  <si>
    <t>The Cape</t>
  </si>
  <si>
    <t>Ratio of Total MLR Calculation Allowable Expenses to Total Revenue excluding Investment Income ((Line 0047 divided by (Line 0012 minus line 0009)).</t>
  </si>
  <si>
    <t>Updated Rate Cells to reflect Eastern, Western, The Cape</t>
  </si>
  <si>
    <t>Added additional tab and renamed Schedule 3B_Income_Eastern; 3C_Income_Western; 3D_Income_The Cape.
Incorportated Line #0064 MLR Allowable Expense Ratio.
Updated formulas on 3A_Income_Statement to incorporate Eastern, Western, The Cape tabs.</t>
  </si>
  <si>
    <t>Updated Submission dates for SFY23.
Updated Template Instructions to include MLR Allowable Expense Ratio (Row 131; Line # 0064).
Updated Rating Categories for SFY23 "Community Other" and "Community BH".
Updated Medical Services Definitions (Therapy to Professional category).
Updated coding changes for Frail Elder Waiver (FEW) Services.</t>
  </si>
  <si>
    <t>Submission Dates for Financial Reports For Calendar Year 2024</t>
  </si>
  <si>
    <t>Jan-Mar 2024</t>
  </si>
  <si>
    <t>Apr-Jun 2024</t>
  </si>
  <si>
    <t>Jul-Sept 2024</t>
  </si>
  <si>
    <t>Oct-Dec 2024</t>
  </si>
  <si>
    <t>CY2024</t>
  </si>
  <si>
    <t>Calendar Year Reporting Cycle:  2024</t>
  </si>
  <si>
    <t>Tufts Associated Health Plans, Inc. (TAHMO)</t>
  </si>
  <si>
    <t>1. Row 19 shows LICS &amp; Reinsurance Rx Claims. Pharmacy Claims in Line 0022 are shown gross of Rx Rebates and net of LICS &amp; Reinsurance   Pharmacy Claims in Line 0023 are shown net of Rebates and net of LICS &amp; Reinsurance.  Pharmacy Claims in Line 0025 is shown as Net of Rebates.</t>
  </si>
  <si>
    <t>The calculation of Total Pharmacy in line 32 is incorrect due to the wrong Pharmacy lines being excluded in the top section.  Lines 10a &amp; 11a should be "Exclude"  not 10b &amp; 11b.</t>
  </si>
  <si>
    <t>Rebates Receivable</t>
  </si>
  <si>
    <t>Gov't Settlements (Risk Corridor)</t>
  </si>
  <si>
    <t>Other Misc Receivables</t>
  </si>
  <si>
    <t>The SCO contract is written on Tufts Associated Health Maintenance Organization, Inc. (TAHMO).  TAHMO is a not-for-profit Massachusetts corporation established for the purpose of arranging for the delivery of comprehensive health care services, on a prepaid basis, to subscribing individuals and groups. TAHMO is contracted by the Massachusetts Executive Office of Health and Human Services (EOHHS) and the Centers for Medicare and Medicaid Services (CMS) to provide health care coverage for the state’s Medicare, Medicaid and State Children’s Health Insurance Programs (CHIP) populations, as well as, the Commonwealth Health Insurance Connector Authority (the Massachusetts state run exchange) for the Qualified Health Care, Commonwealth Care and Medical Security Program populations.
The Company’s Commercial and Medicaid contracts with state agencies generally are multi-year contracts subject to annual renewal provisions, while the Company’s Medicare contracts with CMS renew annually.
The headquater of the company is located at 1 Wellness Way, Canton, MA 02021</t>
  </si>
  <si>
    <r>
      <t>* Cash, cash equivalents, and short-term investments represent cash balances and investments with initial maturities of one year or less.</t>
    </r>
    <r>
      <rPr>
        <b/>
        <sz val="10"/>
        <rFont val="Arial"/>
        <family val="2"/>
      </rPr>
      <t xml:space="preserve"> </t>
    </r>
    <r>
      <rPr>
        <sz val="10"/>
        <rFont val="Arial"/>
        <family val="2"/>
      </rPr>
      <t xml:space="preserve">
* TAHMO uses estimates for determining its claims incurred but not yet reported, which are based on historical claim payment patterns, healthcare trends and membership and includes a provision for adverse changes in claim frequency and severity. Amounts incurred related to prior years vary from previously estimated liabilities as the claims are ultimately settled. Liabilities at any year end are continually reviewed and re-estimated as information regarding actual claims payments become known. This information is compared to the originally established year end liability. 
* Revenue is recorded upon receipt.  Patient liabiilty amounts are accrued to revenue and recorded as receivables.
* Medical and adminstrative expenses are recorded as paid amounts and estimated reserves and accruals.
* Premiums receivable are reported net of an allowance for uncollectible accounts based on historical collection trends and management’s judgment on the collectability of these accounts.
These collection trends, as well as prevailing and anticipated economic conditions, are routinely monitored by management, and any adjustments required are reflected in current operations.
The Company’s provider agreements include pharmacy rebates as a component of the risk incentive arrangements, which are included in the balance sheets in pharmaceutical rebates receivable. Rebates are included in the provider settlements on a cash basis through the settlement date. Health care receivables admitted related to rebates include an estimated amount for the most recent quarter and amounts billed and expected to be collected within 60 days of year end. All other amounts are considered to be nonadmitted assets and charged to unassigned surplus.
</t>
    </r>
  </si>
  <si>
    <t>TAHMO has written 2 promissory notes totaling $1.4 million in connection with its contract to provide services for MassHealth SCO program.
TAHMO promises to pay MA EOHHS $1.4 million in the event of impending or actual insolvency of TAHMO to guarantee covered services.</t>
  </si>
  <si>
    <t xml:space="preserve">There was not a significant change to Medical Claims Payable </t>
  </si>
  <si>
    <t>* SCO business is written on TAHMO. All Admistrative costs are incurred on TAHMO and allocated to SCO products.
* There was not a significant change to the Due to/from Affliates amount.</t>
  </si>
  <si>
    <t>There were no significant fluctuations in Lag Reports.</t>
  </si>
  <si>
    <t xml:space="preserve">Most of Revenue and Medical Expenses is actual data based on members and rate cells.                                                                                                                          Line 0004 (Other Revenue-Medicare) consists of Rebate Buy-Down, LIS $s recv'd from CMS, CMS fees and our estimate of the Part D Risk Settlement. These items are allocated based on Part A/B &amp; D Revenue from CMS.
 Line 006 (Patient Contribution to Care) is allocated based on Medicaid revenue for Institutional members.
Line 0010 (All Other Revenue) consists of an accrual for the RiskScore Adjustment by CMS (to be received in July 2023) and Medicare MLR estimate if any.  These $s are allocated based on CMS Part A/B &amp; D Revenue.
Lines 0038 - 0053 (with the exception of Line 0040) are all allocated based on Medicaid &amp; Medicare revenue.
Line 0040 (ASAPs) is allocated based on Medicaid revenue.
</t>
  </si>
  <si>
    <t>Y</t>
  </si>
  <si>
    <t>Roshni Parikh</t>
  </si>
  <si>
    <t>01/01/2024 - 12/31/2024</t>
  </si>
  <si>
    <t>Cash from TAHMO</t>
  </si>
  <si>
    <t>Mark Porter, Senior Vice President, CAO &amp; Treasurer</t>
  </si>
  <si>
    <t>860-519-8133</t>
  </si>
  <si>
    <t>The balance sheet was a established to show rolling (life to date) balance when the SeniorCare Options(SCO) product began per the initial Reporting Template.  The subsequent templates now require the income statement to show data for "current year" only and on a restated basis as IBNR runs off.  To facilitate this "product" sub balance sheet of the full reporting entity (TAHMO) balancing adjustments are made to the cash balance, which essentially contemplates the SCO share of Cash, MM and Short Term investments of TAHMO.  This methodology results in a non-GAAP, non-Statutory, quasi-cash balance sheet for the product.  Donations, if any reflect the conceptual reallocation of the enitities networth and cash attributable to SCO.
For this reporting period a donation of $3,000,000 is reflected in the SCO balance sheet representing, a higher allocation of cash and net worth to maintain adequate solvency requirements.</t>
  </si>
  <si>
    <t>Tufts Associated Health Plans, Inc. (TAHP) provides management services to TAHMO and its subsidiaries for many of their administrative needs. The management fee is determined primarily as TAHP’s cost plus markup percentage, which is negotiated annually. The total management fee for the SCO product was $33,868,841 as of December 31, 2024.</t>
  </si>
  <si>
    <t>I hereby attest and certify the accuracy and completeness of the information submitted herein and all services reported herein were rendered by the Massachusetts SCO Program  Tufts Associated Health Plans, Inc.</t>
  </si>
  <si>
    <t>/s/  Mark Porter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</si>
</sst>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
    <numFmt numFmtId="166" formatCode="_(* #,##0_);_(* \(#,##0\);_(* &quot;-&quot;??_);_(@_)"/>
    <numFmt numFmtId="167" formatCode="_(&quot;$&quot;* #,##0_);_(&quot;$&quot;* \(#,##0\);_(&quot;$&quot;* &quot;-&quot;??_);_(@_)"/>
    <numFmt numFmtId="168" formatCode="&quot;$&quot;#,##0"/>
    <numFmt numFmtId="169" formatCode="_(&quot;$&quot;* #,##0.00_);_(&quot;$&quot;* \(\ #,##0.00\ \);_(&quot;$&quot;* &quot;-&quot;??_);_(\ @_ \)"/>
    <numFmt numFmtId="170" formatCode="_(* #,##0.00_);_(* \(\ #,##0.00\ \);_(* &quot;-&quot;??_);_(\ @_ \)"/>
    <numFmt numFmtId="171" formatCode="#,##0.00;[Red]\(#,##0.00\)"/>
    <numFmt numFmtId="172" formatCode="0.00%;\ \(0.00%\)"/>
    <numFmt numFmtId="173" formatCode="&quot;$&quot;#,##0;[Red]\(&quot;$&quot;#,##0\)"/>
    <numFmt numFmtId="174" formatCode="#,##0;[Red]\(#,##0\)"/>
    <numFmt numFmtId="175" formatCode="#,##0.0"/>
    <numFmt numFmtId="176" formatCode="#,##0.000"/>
    <numFmt numFmtId="177" formatCode="0.0000"/>
    <numFmt numFmtId="178" formatCode="0.000000"/>
    <numFmt numFmtId="179" formatCode="0.00000%"/>
    <numFmt numFmtId="180" formatCode="#,##0.0_);[Red]\(#,##0.0\)"/>
    <numFmt numFmtId="181" formatCode="#,##0.000_);[Red]\(#,##0.000\)"/>
    <numFmt numFmtId="182" formatCode="#,##0.00000_);[Red]\(#,##0.00000\)"/>
    <numFmt numFmtId="183" formatCode="#,##0.0000_);[Red]\(#,##0.0000\)"/>
    <numFmt numFmtId="184" formatCode="mm/dd/yy"/>
    <numFmt numFmtId="185" formatCode="#,##0;\-#,##0;&quot;-&quot;"/>
    <numFmt numFmtId="186" formatCode="#,##0\ ;\(#,##0\);\-\ \ \ \ \ "/>
    <numFmt numFmtId="187" formatCode="#,##0\ ;\(#,##0\);\–\ \ \ \ \ "/>
    <numFmt numFmtId="188" formatCode="_-* #,##0.00_-;\-* #,##0.00_-;_-* &quot;-&quot;??_-;_-@_-"/>
    <numFmt numFmtId="189" formatCode="0.0000_);\-0.0000\);;@"/>
    <numFmt numFmtId="190" formatCode="#,##0_);\-#,##0\);;@"/>
    <numFmt numFmtId="191" formatCode="#,###,##0.00;\(#,###,##0.00\)"/>
    <numFmt numFmtId="192" formatCode="#,###,##0;\(#,###,##0\)"/>
    <numFmt numFmtId="193" formatCode="&quot;$&quot;#,###,##0;\(&quot;$&quot;#,###,##0\)"/>
    <numFmt numFmtId="194" formatCode="&quot;$&quot;#,###,##0.00;\(&quot;$&quot;#,###,##0.00\)"/>
    <numFmt numFmtId="195" formatCode="#,##0.00%;\(#,##0.00%\)"/>
    <numFmt numFmtId="196" formatCode="\ \ \ @"/>
    <numFmt numFmtId="197" formatCode="\ \ \ \ \ \ @"/>
    <numFmt numFmtId="198" formatCode="#,##0\ \ \ ;[Red]\(#,##0\)\ \ ;\—\ \ \ \ "/>
    <numFmt numFmtId="199" formatCode="[$-409]mmm\-yy;@"/>
    <numFmt numFmtId="200" formatCode="[$-409]mmmm\-yy;@"/>
    <numFmt numFmtId="201" formatCode="m/d/yyyy;@"/>
    <numFmt numFmtId="202" formatCode="[$-409]mmmm\ d\,\ yyyy;@"/>
  </numFmts>
  <fonts count="132" x14ac:knownFonts="1">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0"/>
      <name val="Arial"/>
      <family val="2"/>
    </font>
    <font>
      <sz val="8"/>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u/>
      <sz val="10"/>
      <name val="Arial"/>
      <family val="2"/>
    </font>
    <font>
      <sz val="10"/>
      <name val="Times New Roman"/>
      <family val="1"/>
    </font>
    <font>
      <sz val="10"/>
      <name val="Tahoma"/>
      <family val="2"/>
    </font>
    <font>
      <b/>
      <sz val="12"/>
      <name val="Arial"/>
      <family val="2"/>
    </font>
    <font>
      <i/>
      <sz val="10"/>
      <name val="Arial"/>
      <family val="2"/>
    </font>
    <font>
      <sz val="8"/>
      <name val="Arial"/>
      <family val="2"/>
    </font>
    <font>
      <sz val="12"/>
      <name val="Arial"/>
      <family val="2"/>
    </font>
    <font>
      <u/>
      <sz val="10"/>
      <name val="Arial"/>
      <family val="2"/>
    </font>
    <font>
      <b/>
      <u/>
      <sz val="10"/>
      <color indexed="10"/>
      <name val="Arial"/>
      <family val="2"/>
    </font>
    <font>
      <b/>
      <sz val="10"/>
      <color indexed="10"/>
      <name val="Arial"/>
      <family val="2"/>
    </font>
    <font>
      <sz val="10"/>
      <color indexed="10"/>
      <name val="Arial"/>
      <family val="2"/>
    </font>
    <font>
      <sz val="12"/>
      <name val="Times New Roman"/>
      <family val="1"/>
    </font>
    <font>
      <sz val="10"/>
      <color indexed="8"/>
      <name val="Arial"/>
      <family val="2"/>
    </font>
    <font>
      <sz val="10"/>
      <name val="MS Serif"/>
      <family val="1"/>
    </font>
    <font>
      <sz val="11"/>
      <color indexed="8"/>
      <name val="Arial"/>
      <family val="2"/>
    </font>
    <font>
      <sz val="10"/>
      <color indexed="17"/>
      <name val="Arial"/>
      <family val="2"/>
    </font>
    <font>
      <sz val="10"/>
      <color indexed="16"/>
      <name val="MS Serif"/>
      <family val="1"/>
    </font>
    <font>
      <sz val="12"/>
      <color indexed="17"/>
      <name val="Times New Roman"/>
      <family val="1"/>
    </font>
    <font>
      <sz val="36"/>
      <name val="Times New Roman"/>
      <family val="1"/>
    </font>
    <font>
      <sz val="48"/>
      <name val="Times New Roman"/>
      <family val="1"/>
    </font>
    <font>
      <sz val="10"/>
      <color indexed="39"/>
      <name val="Arial"/>
      <family val="2"/>
    </font>
    <font>
      <sz val="8"/>
      <name val="Helv"/>
    </font>
    <font>
      <b/>
      <sz val="8"/>
      <color indexed="8"/>
      <name val="Helv"/>
    </font>
    <font>
      <b/>
      <sz val="14"/>
      <name val="Arial"/>
      <family val="2"/>
    </font>
    <font>
      <sz val="9"/>
      <color indexed="10"/>
      <name val="Arial"/>
      <family val="2"/>
    </font>
    <font>
      <b/>
      <sz val="20"/>
      <color indexed="10"/>
      <name val="Arial"/>
      <family val="2"/>
    </font>
    <font>
      <strike/>
      <sz val="10"/>
      <name val="Arial"/>
      <family val="2"/>
    </font>
    <font>
      <sz val="10"/>
      <color rgb="FFFF0000"/>
      <name val="Arial"/>
      <family val="2"/>
    </font>
    <font>
      <b/>
      <sz val="11"/>
      <color theme="1"/>
      <name val="Times New Roman"/>
      <family val="1"/>
    </font>
    <font>
      <sz val="11"/>
      <color theme="1"/>
      <name val="Times New Roman"/>
      <family val="1"/>
    </font>
    <font>
      <b/>
      <sz val="10"/>
      <color theme="1"/>
      <name val="Arial"/>
      <family val="2"/>
    </font>
    <font>
      <sz val="10"/>
      <color theme="1"/>
      <name val="Arial"/>
      <family val="2"/>
    </font>
    <font>
      <b/>
      <sz val="10"/>
      <color rgb="FFFF0000"/>
      <name val="Arial"/>
      <family val="2"/>
    </font>
    <font>
      <b/>
      <sz val="11"/>
      <color theme="1"/>
      <name val="Arial"/>
      <family val="2"/>
    </font>
    <font>
      <b/>
      <sz val="10"/>
      <color indexed="8"/>
      <name val="Arial"/>
      <family val="2"/>
    </font>
    <font>
      <b/>
      <u/>
      <sz val="10"/>
      <color indexed="8"/>
      <name val="Arial"/>
      <family val="2"/>
    </font>
    <font>
      <sz val="10"/>
      <color indexed="8"/>
      <name val="MS Sans Serif"/>
      <family val="2"/>
    </font>
    <font>
      <sz val="11"/>
      <color rgb="FF000000"/>
      <name val="Calibri"/>
      <family val="2"/>
      <scheme val="minor"/>
    </font>
    <font>
      <b/>
      <sz val="12"/>
      <color indexed="8"/>
      <name val="Arial"/>
      <family val="2"/>
    </font>
    <font>
      <sz val="12"/>
      <color indexed="8"/>
      <name val="Arial"/>
      <family val="2"/>
    </font>
    <font>
      <sz val="11"/>
      <name val="Arial"/>
      <family val="2"/>
    </font>
    <font>
      <b/>
      <i/>
      <sz val="10"/>
      <name val="Arial"/>
      <family val="2"/>
    </font>
    <font>
      <sz val="10"/>
      <color rgb="FF0070C0"/>
      <name val="Arial"/>
      <family val="2"/>
    </font>
    <font>
      <u/>
      <sz val="10"/>
      <color theme="10"/>
      <name val="Arial"/>
      <family val="2"/>
    </font>
    <font>
      <sz val="10"/>
      <color rgb="FF000000"/>
      <name val="Symbol"/>
      <family val="1"/>
      <charset val="2"/>
    </font>
    <font>
      <sz val="7"/>
      <color rgb="FF000000"/>
      <name val="Times New Roman"/>
      <family val="1"/>
    </font>
    <font>
      <sz val="10"/>
      <color rgb="FF000000"/>
      <name val="Arial"/>
      <family val="2"/>
    </font>
    <font>
      <b/>
      <u/>
      <sz val="10"/>
      <color theme="1"/>
      <name val="Arial"/>
      <family val="2"/>
    </font>
    <font>
      <b/>
      <sz val="10"/>
      <color theme="0"/>
      <name val="Arial"/>
      <family val="2"/>
    </font>
    <font>
      <sz val="10"/>
      <color indexed="8"/>
      <name val="Times New Roman"/>
      <family val="1"/>
    </font>
    <font>
      <sz val="10"/>
      <color rgb="FF00B0F0"/>
      <name val="Arial"/>
      <family val="2"/>
    </font>
    <font>
      <sz val="11"/>
      <name val="Times New Roman"/>
      <family val="1"/>
    </font>
    <font>
      <b/>
      <sz val="11"/>
      <color indexed="10"/>
      <name val="Calibri"/>
      <family val="2"/>
    </font>
    <font>
      <sz val="11"/>
      <name val="Tms Rmn"/>
    </font>
    <font>
      <sz val="10"/>
      <name val="Segoe UI"/>
      <family val="2"/>
    </font>
    <font>
      <sz val="11"/>
      <color theme="1"/>
      <name val="Arial"/>
      <family val="2"/>
    </font>
    <font>
      <sz val="10"/>
      <name val="Helv"/>
    </font>
    <font>
      <b/>
      <sz val="8"/>
      <name val="Arial"/>
      <family val="2"/>
    </font>
    <font>
      <sz val="1"/>
      <color indexed="8"/>
      <name val="Courier"/>
      <family val="3"/>
    </font>
    <font>
      <i/>
      <sz val="1"/>
      <color indexed="8"/>
      <name val="Courier"/>
      <family val="3"/>
    </font>
    <font>
      <sz val="10"/>
      <color indexed="0"/>
      <name val="Arial"/>
      <family val="2"/>
    </font>
    <font>
      <i/>
      <sz val="10"/>
      <name val="Times New Roman"/>
      <family val="1"/>
    </font>
    <font>
      <b/>
      <sz val="18"/>
      <name val="Arial"/>
      <family val="2"/>
    </font>
    <font>
      <b/>
      <sz val="11"/>
      <color indexed="62"/>
      <name val="Calibri"/>
      <family val="2"/>
    </font>
    <font>
      <sz val="11"/>
      <color indexed="19"/>
      <name val="Calibri"/>
      <family val="2"/>
    </font>
    <font>
      <b/>
      <i/>
      <sz val="16"/>
      <name val="Helv"/>
    </font>
    <font>
      <sz val="12"/>
      <name val="Helv"/>
    </font>
    <font>
      <sz val="10"/>
      <name val="Calibri"/>
      <family val="2"/>
    </font>
    <font>
      <sz val="11"/>
      <color rgb="FF000000"/>
      <name val="Calibri"/>
      <family val="2"/>
    </font>
    <font>
      <sz val="11"/>
      <color indexed="8"/>
      <name val="Times New Roman"/>
      <family val="1"/>
    </font>
    <font>
      <b/>
      <sz val="10"/>
      <name val="Times New Roman"/>
      <family val="1"/>
    </font>
    <font>
      <sz val="10"/>
      <name val="MS Sans Serif"/>
      <family val="2"/>
    </font>
    <font>
      <b/>
      <sz val="10"/>
      <name val="MS Sans Serif"/>
      <family val="2"/>
    </font>
    <font>
      <b/>
      <sz val="10"/>
      <color indexed="8"/>
      <name val="Book Antiqua"/>
      <family val="1"/>
    </font>
    <font>
      <b/>
      <i/>
      <sz val="12"/>
      <color indexed="4"/>
      <name val="Arial"/>
      <family val="2"/>
    </font>
    <font>
      <b/>
      <i/>
      <sz val="11"/>
      <color indexed="4"/>
      <name val="Arial"/>
      <family val="2"/>
    </font>
    <font>
      <b/>
      <i/>
      <sz val="10"/>
      <color indexed="8"/>
      <name val="Arial"/>
      <family val="2"/>
    </font>
    <font>
      <b/>
      <i/>
      <sz val="10"/>
      <color indexed="0"/>
      <name val="Arial"/>
      <family val="2"/>
    </font>
    <font>
      <b/>
      <sz val="10"/>
      <color indexed="0"/>
      <name val="Arial"/>
      <family val="2"/>
    </font>
    <font>
      <b/>
      <sz val="18"/>
      <color indexed="62"/>
      <name val="Cambria"/>
      <family val="2"/>
    </font>
    <font>
      <b/>
      <sz val="11"/>
      <color indexed="9"/>
      <name val="Arial"/>
      <family val="2"/>
    </font>
    <font>
      <sz val="10"/>
      <color indexed="9"/>
      <name val="Arial"/>
      <family val="2"/>
    </font>
    <font>
      <b/>
      <sz val="10"/>
      <color indexed="9"/>
      <name val="Arial"/>
      <family val="2"/>
    </font>
    <font>
      <sz val="10"/>
      <name val="Arial"/>
      <family val="2"/>
    </font>
    <font>
      <sz val="18"/>
      <color rgb="FF002C77"/>
      <name val="Arial"/>
      <family val="2"/>
    </font>
    <font>
      <b/>
      <sz val="11"/>
      <name val="Arial"/>
      <family val="2"/>
    </font>
    <font>
      <sz val="11"/>
      <color rgb="FFFF0000"/>
      <name val="Arial"/>
      <family val="2"/>
    </font>
    <font>
      <b/>
      <u/>
      <sz val="11"/>
      <color rgb="FFFF0000"/>
      <name val="Arial"/>
      <family val="2"/>
    </font>
    <font>
      <b/>
      <u/>
      <sz val="11"/>
      <name val="Arial"/>
      <family val="2"/>
    </font>
    <font>
      <b/>
      <sz val="11"/>
      <color rgb="FFFF0000"/>
      <name val="Arial"/>
      <family val="2"/>
    </font>
    <font>
      <b/>
      <sz val="10"/>
      <color rgb="FF000000"/>
      <name val="Arial"/>
      <family val="2"/>
    </font>
    <font>
      <sz val="10"/>
      <color rgb="FF0070C0"/>
      <name val="Times New Roman"/>
      <family val="1"/>
    </font>
    <font>
      <strike/>
      <sz val="10"/>
      <color rgb="FFFF0000"/>
      <name val="Arial"/>
      <family val="2"/>
    </font>
    <font>
      <b/>
      <sz val="10"/>
      <color theme="7" tint="-0.499984740745262"/>
      <name val="Arial"/>
      <family val="2"/>
    </font>
    <font>
      <sz val="10"/>
      <color rgb="FF7030A0"/>
      <name val="Arial"/>
      <family val="2"/>
    </font>
    <font>
      <b/>
      <strike/>
      <sz val="10"/>
      <color rgb="FFFF0000"/>
      <name val="Arial"/>
      <family val="2"/>
    </font>
    <font>
      <b/>
      <sz val="10"/>
      <color rgb="FF7030A0"/>
      <name val="Arial"/>
      <family val="2"/>
    </font>
    <font>
      <sz val="9"/>
      <color indexed="81"/>
      <name val="Tahoma"/>
      <family val="2"/>
    </font>
    <font>
      <b/>
      <sz val="9"/>
      <color indexed="81"/>
      <name val="Tahoma"/>
      <family val="2"/>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1"/>
        <bgColor indexed="64"/>
      </patternFill>
    </fill>
    <fill>
      <patternFill patternType="solid">
        <fgColor indexed="35"/>
        <bgColor indexed="64"/>
      </patternFill>
    </fill>
    <fill>
      <patternFill patternType="solid">
        <fgColor indexed="22"/>
      </patternFill>
    </fill>
    <fill>
      <patternFill patternType="solid">
        <fgColor indexed="55"/>
      </patternFill>
    </fill>
    <fill>
      <patternFill patternType="solid">
        <fgColor indexed="43"/>
        <bgColor indexed="64"/>
      </patternFill>
    </fill>
    <fill>
      <patternFill patternType="solid">
        <fgColor indexed="11"/>
        <bgColor indexed="44"/>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9"/>
        <bgColor indexed="64"/>
      </patternFill>
    </fill>
    <fill>
      <patternFill patternType="solid">
        <fgColor indexed="10"/>
        <bgColor indexed="64"/>
      </patternFill>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rgb="FF92D050"/>
        <bgColor indexed="64"/>
      </patternFill>
    </fill>
    <fill>
      <patternFill patternType="solid">
        <fgColor theme="9" tint="0.39994506668294322"/>
        <bgColor indexed="64"/>
      </patternFill>
    </fill>
    <fill>
      <patternFill patternType="solid">
        <fgColor theme="9" tint="0.59999389629810485"/>
        <bgColor indexed="64"/>
      </patternFill>
    </fill>
    <fill>
      <patternFill patternType="solid">
        <fgColor rgb="FFFFFF99"/>
        <bgColor indexed="64"/>
      </patternFill>
    </fill>
    <fill>
      <patternFill patternType="solid">
        <fgColor indexed="9"/>
        <bgColor indexed="64"/>
      </patternFill>
    </fill>
    <fill>
      <patternFill patternType="solid">
        <fgColor indexed="47"/>
        <bgColor indexed="64"/>
      </patternFill>
    </fill>
    <fill>
      <patternFill patternType="solid">
        <fgColor rgb="FFFF0000"/>
        <bgColor indexed="64"/>
      </patternFill>
    </fill>
    <fill>
      <patternFill patternType="solid">
        <fgColor theme="9" tint="0.39997558519241921"/>
        <bgColor indexed="64"/>
      </patternFill>
    </fill>
    <fill>
      <patternFill patternType="solid">
        <fgColor rgb="FFFFCC99"/>
        <bgColor indexed="64"/>
      </patternFill>
    </fill>
    <fill>
      <patternFill patternType="solid">
        <fgColor theme="0" tint="-0.249977111117893"/>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indexed="26"/>
        <bgColor indexed="64"/>
      </patternFill>
    </fill>
    <fill>
      <patternFill patternType="solid">
        <fgColor rgb="FFFFFFCC"/>
      </patternFill>
    </fill>
    <fill>
      <patternFill patternType="solid">
        <fgColor indexed="42"/>
        <bgColor indexed="64"/>
      </patternFill>
    </fill>
    <fill>
      <patternFill patternType="solid">
        <fgColor indexed="44"/>
        <bgColor indexed="64"/>
      </patternFill>
    </fill>
    <fill>
      <patternFill patternType="mediumGray">
        <fgColor indexed="22"/>
      </patternFill>
    </fill>
    <fill>
      <patternFill patternType="solid">
        <fgColor indexed="23"/>
      </patternFill>
    </fill>
    <fill>
      <patternFill patternType="darkUp"/>
    </fill>
    <fill>
      <patternFill patternType="darkUp">
        <fgColor indexed="8"/>
        <bgColor indexed="22"/>
      </patternFill>
    </fill>
    <fill>
      <patternFill patternType="solid">
        <fgColor theme="1" tint="0.14999847407452621"/>
        <bgColor indexed="64"/>
      </patternFill>
    </fill>
    <fill>
      <patternFill patternType="solid">
        <fgColor theme="1"/>
        <bgColor indexed="64"/>
      </patternFill>
    </fill>
    <fill>
      <patternFill patternType="darkUp">
        <fgColor indexed="8"/>
        <bgColor theme="0"/>
      </patternFill>
    </fill>
  </fills>
  <borders count="13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bottom style="thin">
        <color indexed="64"/>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thin">
        <color indexed="9"/>
      </left>
      <right style="thin">
        <color indexed="9"/>
      </right>
      <top style="thin">
        <color indexed="9"/>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style="thin">
        <color indexed="64"/>
      </top>
      <bottom/>
      <diagonal/>
    </border>
    <border>
      <left/>
      <right style="double">
        <color indexed="64"/>
      </right>
      <top/>
      <bottom/>
      <diagonal/>
    </border>
    <border>
      <left style="double">
        <color indexed="64"/>
      </left>
      <right style="thin">
        <color indexed="64"/>
      </right>
      <top style="thin">
        <color indexed="64"/>
      </top>
      <bottom/>
      <diagonal/>
    </border>
    <border>
      <left style="hair">
        <color auto="1"/>
      </left>
      <right style="medium">
        <color auto="1"/>
      </right>
      <top style="medium">
        <color auto="1"/>
      </top>
      <bottom style="medium">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thin">
        <color auto="1"/>
      </right>
      <top style="medium">
        <color auto="1"/>
      </top>
      <bottom style="medium">
        <color auto="1"/>
      </bottom>
      <diagonal/>
    </border>
    <border>
      <left style="thin">
        <color auto="1"/>
      </left>
      <right style="thin">
        <color indexed="64"/>
      </right>
      <top style="medium">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style="medium">
        <color auto="1"/>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auto="1"/>
      </left>
      <right style="medium">
        <color auto="1"/>
      </right>
      <top style="medium">
        <color auto="1"/>
      </top>
      <bottom style="medium">
        <color auto="1"/>
      </bottom>
      <diagonal/>
    </border>
    <border>
      <left style="medium">
        <color indexed="64"/>
      </left>
      <right style="thin">
        <color indexed="64"/>
      </right>
      <top style="medium">
        <color indexed="64"/>
      </top>
      <bottom style="medium">
        <color indexed="64"/>
      </bottom>
      <diagonal/>
    </border>
    <border>
      <left/>
      <right style="thin">
        <color auto="1"/>
      </right>
      <top style="medium">
        <color indexed="64"/>
      </top>
      <bottom style="medium">
        <color indexed="64"/>
      </bottom>
      <diagonal/>
    </border>
    <border>
      <left style="medium">
        <color auto="1"/>
      </left>
      <right/>
      <top style="medium">
        <color auto="1"/>
      </top>
      <bottom style="medium">
        <color auto="1"/>
      </bottom>
      <diagonal/>
    </border>
    <border>
      <left/>
      <right style="hair">
        <color auto="1"/>
      </right>
      <top style="medium">
        <color auto="1"/>
      </top>
      <bottom style="medium">
        <color auto="1"/>
      </bottom>
      <diagonal/>
    </border>
    <border>
      <left/>
      <right style="hair">
        <color auto="1"/>
      </right>
      <top style="thin">
        <color indexed="64"/>
      </top>
      <bottom style="thin">
        <color indexed="64"/>
      </bottom>
      <diagonal/>
    </border>
    <border>
      <left style="medium">
        <color auto="1"/>
      </left>
      <right style="hair">
        <color auto="1"/>
      </right>
      <top/>
      <bottom/>
      <diagonal/>
    </border>
    <border>
      <left style="hair">
        <color auto="1"/>
      </left>
      <right style="hair">
        <color auto="1"/>
      </right>
      <top/>
      <bottom/>
      <diagonal/>
    </border>
    <border>
      <left style="hair">
        <color auto="1"/>
      </left>
      <right style="medium">
        <color auto="1"/>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right/>
      <top/>
      <bottom style="medium">
        <color indexed="30"/>
      </bottom>
      <diagonal/>
    </border>
    <border>
      <left/>
      <right style="thin">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auto="1"/>
      </left>
      <right/>
      <top style="medium">
        <color auto="1"/>
      </top>
      <bottom/>
      <diagonal/>
    </border>
    <border>
      <left/>
      <right/>
      <top/>
      <bottom style="medium">
        <color auto="1"/>
      </bottom>
      <diagonal/>
    </border>
    <border>
      <left/>
      <right style="medium">
        <color auto="1"/>
      </right>
      <top/>
      <bottom style="medium">
        <color auto="1"/>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medium">
        <color indexed="64"/>
      </right>
      <top/>
      <bottom/>
      <diagonal/>
    </border>
    <border>
      <left style="hair">
        <color auto="1"/>
      </left>
      <right style="medium">
        <color indexed="64"/>
      </right>
      <top style="thin">
        <color indexed="64"/>
      </top>
      <bottom style="thin">
        <color indexed="64"/>
      </bottom>
      <diagonal/>
    </border>
    <border>
      <left style="thin">
        <color auto="1"/>
      </left>
      <right style="medium">
        <color auto="1"/>
      </right>
      <top style="medium">
        <color auto="1"/>
      </top>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style="thin">
        <color auto="1"/>
      </left>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27"/>
      </bottom>
      <diagonal/>
    </border>
    <border>
      <left/>
      <right/>
      <top/>
      <bottom style="double">
        <color indexed="10"/>
      </bottom>
      <diagonal/>
    </border>
    <border>
      <left style="thin">
        <color rgb="FFB2B2B2"/>
      </left>
      <right style="thin">
        <color rgb="FFB2B2B2"/>
      </right>
      <top style="thin">
        <color rgb="FFB2B2B2"/>
      </top>
      <bottom style="thin">
        <color rgb="FFB2B2B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indexed="0"/>
      </top>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top style="medium">
        <color indexed="45"/>
      </top>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right style="thin">
        <color indexed="64"/>
      </right>
      <top style="medium">
        <color indexed="64"/>
      </top>
      <bottom style="thin">
        <color indexed="64"/>
      </bottom>
      <diagonal/>
    </border>
    <border>
      <left/>
      <right/>
      <top style="medium">
        <color indexed="45"/>
      </top>
      <bottom/>
      <diagonal/>
    </border>
    <border>
      <left/>
      <right/>
      <top style="medium">
        <color indexed="45"/>
      </top>
      <bottom/>
      <diagonal/>
    </border>
    <border>
      <left style="medium">
        <color indexed="64"/>
      </left>
      <right style="medium">
        <color indexed="64"/>
      </right>
      <top/>
      <bottom style="medium">
        <color indexed="64"/>
      </bottom>
      <diagonal/>
    </border>
    <border>
      <left style="hair">
        <color auto="1"/>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s>
  <cellStyleXfs count="657">
    <xf numFmtId="0" fontId="0" fillId="0" borderId="0"/>
    <xf numFmtId="0" fontId="15" fillId="2"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5" borderId="0" applyNumberFormat="0" applyBorder="0" applyAlignment="0" applyProtection="0"/>
    <xf numFmtId="0" fontId="15" fillId="8" borderId="0" applyNumberFormat="0" applyBorder="0" applyAlignment="0" applyProtection="0"/>
    <xf numFmtId="0" fontId="15" fillId="11" borderId="0" applyNumberFormat="0" applyBorder="0" applyAlignment="0" applyProtection="0"/>
    <xf numFmtId="0" fontId="16" fillId="12"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9" borderId="0" applyNumberFormat="0" applyBorder="0" applyAlignment="0" applyProtection="0"/>
    <xf numFmtId="38" fontId="43" fillId="0" borderId="0">
      <alignment horizontal="left"/>
    </xf>
    <xf numFmtId="0" fontId="17" fillId="3" borderId="0" applyNumberFormat="0" applyBorder="0" applyAlignment="0" applyProtection="0"/>
    <xf numFmtId="38" fontId="12" fillId="20" borderId="0">
      <alignment horizontal="right"/>
    </xf>
    <xf numFmtId="0" fontId="12" fillId="21" borderId="0">
      <alignment horizontal="left"/>
    </xf>
    <xf numFmtId="38" fontId="12" fillId="20" borderId="0">
      <alignment horizontal="left"/>
    </xf>
    <xf numFmtId="3" fontId="44" fillId="21" borderId="0">
      <alignment horizontal="right"/>
    </xf>
    <xf numFmtId="185" fontId="45" fillId="0" borderId="0" applyFill="0" applyBorder="0" applyAlignment="0"/>
    <xf numFmtId="0" fontId="18" fillId="22" borderId="1" applyNumberFormat="0" applyAlignment="0" applyProtection="0"/>
    <xf numFmtId="0" fontId="19" fillId="23" borderId="2"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28" fillId="0" borderId="0" applyFont="0" applyFill="0" applyBorder="0" applyAlignment="0" applyProtection="0"/>
    <xf numFmtId="170" fontId="35" fillId="0" borderId="0" applyFont="0" applyFill="0" applyBorder="0" applyAlignment="0" applyProtection="0"/>
    <xf numFmtId="3" fontId="12" fillId="0" borderId="0" applyFill="0" applyBorder="0" applyAlignment="0" applyProtection="0"/>
    <xf numFmtId="0" fontId="46" fillId="0" borderId="0" applyNumberFormat="0" applyAlignment="0">
      <alignment horizontal="lef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5" fillId="0" borderId="0" applyFont="0" applyFill="0" applyBorder="0" applyAlignment="0" applyProtection="0"/>
    <xf numFmtId="44" fontId="47" fillId="0" borderId="0" applyFont="0" applyFill="0" applyBorder="0" applyAlignment="0" applyProtection="0"/>
    <xf numFmtId="169" fontId="35" fillId="0" borderId="0" applyFont="0" applyFill="0" applyBorder="0" applyAlignment="0" applyProtection="0"/>
    <xf numFmtId="6" fontId="12" fillId="0" borderId="0" applyFont="0" applyFill="0" applyBorder="0" applyAlignment="0" applyProtection="0"/>
    <xf numFmtId="8" fontId="12" fillId="24" borderId="0">
      <alignment horizontal="left"/>
    </xf>
    <xf numFmtId="14" fontId="48" fillId="0" borderId="0">
      <alignment horizontal="left"/>
    </xf>
    <xf numFmtId="3" fontId="44" fillId="0" borderId="0">
      <alignment horizontal="right"/>
    </xf>
    <xf numFmtId="175" fontId="44" fillId="0" borderId="0">
      <alignment horizontal="right"/>
    </xf>
    <xf numFmtId="4" fontId="44" fillId="0" borderId="0">
      <alignment horizontal="left"/>
    </xf>
    <xf numFmtId="176" fontId="44" fillId="0" borderId="0">
      <alignment horizontal="right"/>
    </xf>
    <xf numFmtId="177" fontId="12" fillId="0" borderId="0"/>
    <xf numFmtId="178" fontId="12" fillId="0" borderId="0"/>
    <xf numFmtId="180" fontId="12" fillId="0" borderId="0"/>
    <xf numFmtId="40" fontId="12" fillId="0" borderId="0"/>
    <xf numFmtId="181" fontId="12" fillId="0" borderId="0"/>
    <xf numFmtId="183" fontId="12" fillId="0" borderId="0"/>
    <xf numFmtId="182" fontId="12" fillId="0" borderId="0"/>
    <xf numFmtId="0" fontId="49" fillId="0" borderId="0" applyNumberFormat="0" applyAlignment="0">
      <alignment horizontal="left"/>
    </xf>
    <xf numFmtId="0" fontId="20" fillId="0" borderId="0" applyNumberFormat="0" applyFill="0" applyBorder="0" applyAlignment="0" applyProtection="0"/>
    <xf numFmtId="0" fontId="21" fillId="4" borderId="0" applyNumberFormat="0" applyBorder="0" applyAlignment="0" applyProtection="0"/>
    <xf numFmtId="38" fontId="12" fillId="25" borderId="0">
      <alignment horizontal="left"/>
    </xf>
    <xf numFmtId="38" fontId="48" fillId="0" borderId="0">
      <alignment horizontal="left"/>
    </xf>
    <xf numFmtId="3" fontId="50" fillId="0" borderId="0">
      <alignment horizontal="left"/>
    </xf>
    <xf numFmtId="0" fontId="36" fillId="0" borderId="3" applyNumberFormat="0" applyAlignment="0" applyProtection="0">
      <alignment horizontal="left" vertical="center"/>
    </xf>
    <xf numFmtId="0" fontId="36" fillId="0" borderId="4">
      <alignment horizontal="left" vertical="center"/>
    </xf>
    <xf numFmtId="0" fontId="22" fillId="0" borderId="5" applyNumberFormat="0" applyFill="0" applyAlignment="0" applyProtection="0"/>
    <xf numFmtId="0" fontId="23" fillId="0" borderId="6" applyNumberFormat="0" applyFill="0" applyAlignment="0" applyProtection="0"/>
    <xf numFmtId="0" fontId="24" fillId="0" borderId="7" applyNumberFormat="0" applyFill="0" applyAlignment="0" applyProtection="0"/>
    <xf numFmtId="0" fontId="24" fillId="0" borderId="0" applyNumberFormat="0" applyFill="0" applyBorder="0" applyAlignment="0" applyProtection="0"/>
    <xf numFmtId="0" fontId="25" fillId="7" borderId="1" applyNumberFormat="0" applyAlignment="0" applyProtection="0"/>
    <xf numFmtId="38" fontId="12" fillId="0" borderId="0">
      <alignment horizontal="left"/>
    </xf>
    <xf numFmtId="0" fontId="26" fillId="0" borderId="8" applyNumberFormat="0" applyFill="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27" fillId="26" borderId="0" applyNumberFormat="0" applyBorder="0" applyAlignment="0" applyProtection="0"/>
    <xf numFmtId="0" fontId="28" fillId="0" borderId="0"/>
    <xf numFmtId="0" fontId="28" fillId="0" borderId="0"/>
    <xf numFmtId="0" fontId="15" fillId="0" borderId="0"/>
    <xf numFmtId="0" fontId="12" fillId="0" borderId="0"/>
    <xf numFmtId="0" fontId="28" fillId="0" borderId="0"/>
    <xf numFmtId="0" fontId="13" fillId="0" borderId="0"/>
    <xf numFmtId="0" fontId="28" fillId="27" borderId="9" applyNumberFormat="0" applyFont="0" applyAlignment="0" applyProtection="0"/>
    <xf numFmtId="0" fontId="29" fillId="22" borderId="10" applyNumberFormat="0" applyAlignment="0" applyProtection="0"/>
    <xf numFmtId="9" fontId="44" fillId="0" borderId="0">
      <alignment horizontal="right"/>
    </xf>
    <xf numFmtId="165" fontId="44" fillId="0" borderId="0">
      <alignment horizontal="right"/>
    </xf>
    <xf numFmtId="165" fontId="12" fillId="0" borderId="0">
      <alignment horizontal="right"/>
    </xf>
    <xf numFmtId="10" fontId="44" fillId="0" borderId="0">
      <alignment horizontal="right"/>
    </xf>
    <xf numFmtId="9" fontId="12" fillId="0" borderId="0" applyFont="0" applyFill="0" applyBorder="0" applyAlignment="0" applyProtection="0"/>
    <xf numFmtId="9" fontId="12" fillId="0" borderId="0" applyFont="0" applyFill="0" applyBorder="0" applyAlignment="0" applyProtection="0"/>
    <xf numFmtId="9" fontId="28" fillId="0" borderId="0" applyFont="0" applyFill="0" applyBorder="0" applyAlignment="0" applyProtection="0"/>
    <xf numFmtId="9" fontId="47" fillId="0" borderId="0" applyFont="0" applyFill="0" applyBorder="0" applyAlignment="0" applyProtection="0"/>
    <xf numFmtId="165" fontId="53" fillId="24" borderId="0">
      <alignment horizontal="left"/>
    </xf>
    <xf numFmtId="10" fontId="12" fillId="0" borderId="0"/>
    <xf numFmtId="10" fontId="53" fillId="0" borderId="0" applyFill="0" applyBorder="0" applyAlignment="0" applyProtection="0"/>
    <xf numFmtId="38" fontId="12" fillId="28" borderId="0" applyProtection="0">
      <alignment horizontal="left"/>
    </xf>
    <xf numFmtId="38" fontId="12" fillId="29" borderId="0">
      <alignment horizontal="left"/>
    </xf>
    <xf numFmtId="3" fontId="44" fillId="30" borderId="0">
      <alignment horizontal="left"/>
    </xf>
    <xf numFmtId="38" fontId="43" fillId="0" borderId="0">
      <alignment horizontal="left"/>
    </xf>
    <xf numFmtId="38" fontId="12" fillId="29" borderId="0">
      <alignment horizontal="right"/>
    </xf>
    <xf numFmtId="2" fontId="12" fillId="30" borderId="0"/>
    <xf numFmtId="184" fontId="54" fillId="0" borderId="0" applyNumberFormat="0" applyFill="0" applyBorder="0" applyAlignment="0" applyProtection="0">
      <alignment horizontal="left"/>
    </xf>
    <xf numFmtId="38" fontId="12" fillId="0" borderId="0">
      <alignment horizontal="right"/>
    </xf>
    <xf numFmtId="179" fontId="12" fillId="0" borderId="0"/>
    <xf numFmtId="40" fontId="55" fillId="0" borderId="0" applyBorder="0">
      <alignment horizontal="right"/>
    </xf>
    <xf numFmtId="0" fontId="30" fillId="0" borderId="0" applyNumberFormat="0" applyFill="0" applyBorder="0" applyAlignment="0" applyProtection="0"/>
    <xf numFmtId="0" fontId="31" fillId="0" borderId="11" applyNumberFormat="0" applyFill="0" applyAlignment="0" applyProtection="0"/>
    <xf numFmtId="38" fontId="12" fillId="0" borderId="0">
      <alignment horizontal="right" textRotation="90"/>
    </xf>
    <xf numFmtId="0" fontId="32" fillId="0" borderId="0" applyNumberFormat="0" applyFill="0" applyBorder="0" applyAlignment="0" applyProtection="0"/>
    <xf numFmtId="1" fontId="45" fillId="24" borderId="0">
      <alignment horizontal="left"/>
    </xf>
    <xf numFmtId="1" fontId="53" fillId="24" borderId="0">
      <alignment horizontal="right"/>
    </xf>
    <xf numFmtId="1" fontId="12" fillId="24" borderId="0">
      <alignment horizontal="left"/>
    </xf>
    <xf numFmtId="3" fontId="44" fillId="31" borderId="0">
      <alignment horizontal="right"/>
    </xf>
    <xf numFmtId="0" fontId="44" fillId="0" borderId="0"/>
    <xf numFmtId="0" fontId="44" fillId="0" borderId="0"/>
    <xf numFmtId="0" fontId="12" fillId="0" borderId="0"/>
    <xf numFmtId="0" fontId="69" fillId="0" borderId="0"/>
    <xf numFmtId="0" fontId="12" fillId="0" borderId="0"/>
    <xf numFmtId="43" fontId="12" fillId="0" borderId="0" applyFont="0" applyFill="0" applyBorder="0" applyAlignment="0" applyProtection="0"/>
    <xf numFmtId="0" fontId="24" fillId="0" borderId="91" applyNumberFormat="0" applyFill="0" applyAlignment="0" applyProtection="0"/>
    <xf numFmtId="0" fontId="12" fillId="0" borderId="0"/>
    <xf numFmtId="0" fontId="12" fillId="0" borderId="0"/>
    <xf numFmtId="0" fontId="12" fillId="27" borderId="9" applyNumberFormat="0" applyFont="0" applyAlignment="0" applyProtection="0"/>
    <xf numFmtId="9" fontId="12"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 fontId="1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7" fontId="12" fillId="0" borderId="0" applyFont="0" applyFill="0" applyBorder="0" applyAlignment="0" applyProtection="0"/>
    <xf numFmtId="2" fontId="12" fillId="0" borderId="0" applyFont="0" applyFill="0" applyBorder="0" applyAlignment="0" applyProtection="0"/>
    <xf numFmtId="0" fontId="11" fillId="0" borderId="0"/>
    <xf numFmtId="0" fontId="12" fillId="0" borderId="0"/>
    <xf numFmtId="0" fontId="11" fillId="0" borderId="0"/>
    <xf numFmtId="0" fontId="70" fillId="0" borderId="0"/>
    <xf numFmtId="0" fontId="12" fillId="0" borderId="0" applyProtection="0">
      <alignment horizontal="centerContinuous" vertical="top"/>
    </xf>
    <xf numFmtId="0" fontId="12" fillId="0" borderId="0"/>
    <xf numFmtId="0" fontId="34" fillId="0" borderId="0"/>
    <xf numFmtId="0" fontId="15" fillId="2" borderId="0" applyNumberFormat="0" applyBorder="0" applyAlignment="0" applyProtection="0"/>
    <xf numFmtId="0" fontId="15" fillId="2" borderId="0" applyNumberFormat="0" applyBorder="0" applyAlignment="0" applyProtection="0"/>
    <xf numFmtId="0" fontId="15" fillId="8"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9"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27"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7"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2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6"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6"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7" borderId="0" applyNumberFormat="0" applyBorder="0" applyAlignment="0" applyProtection="0"/>
    <xf numFmtId="0" fontId="16" fillId="12"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1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3" borderId="0" applyNumberFormat="0" applyBorder="0" applyAlignment="0" applyProtection="0"/>
    <xf numFmtId="0" fontId="16" fillId="3" borderId="0" applyNumberFormat="0" applyBorder="0" applyAlignment="0" applyProtection="0"/>
    <xf numFmtId="0" fontId="16" fillId="14" borderId="0" applyNumberFormat="0" applyBorder="0" applyAlignment="0" applyProtection="0"/>
    <xf numFmtId="0" fontId="16" fillId="6" borderId="0" applyNumberFormat="0" applyBorder="0" applyAlignment="0" applyProtection="0"/>
    <xf numFmtId="0" fontId="16" fillId="15" borderId="0" applyNumberFormat="0" applyBorder="0" applyAlignment="0" applyProtection="0"/>
    <xf numFmtId="0" fontId="16" fillId="9" borderId="0" applyNumberFormat="0" applyBorder="0" applyAlignment="0" applyProtection="0"/>
    <xf numFmtId="0" fontId="16" fillId="16" borderId="0" applyNumberFormat="0" applyBorder="0" applyAlignment="0" applyProtection="0"/>
    <xf numFmtId="0" fontId="16" fillId="44"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8" borderId="0" applyNumberFormat="0" applyBorder="0" applyAlignment="0" applyProtection="0"/>
    <xf numFmtId="0" fontId="16" fillId="11" borderId="0" applyNumberFormat="0" applyBorder="0" applyAlignment="0" applyProtection="0"/>
    <xf numFmtId="0" fontId="16" fillId="13" borderId="0" applyNumberFormat="0" applyBorder="0" applyAlignment="0" applyProtection="0"/>
    <xf numFmtId="0" fontId="16" fillId="45" borderId="0" applyNumberFormat="0" applyBorder="0" applyAlignment="0" applyProtection="0"/>
    <xf numFmtId="0" fontId="16" fillId="14" borderId="0" applyNumberFormat="0" applyBorder="0" applyAlignment="0" applyProtection="0"/>
    <xf numFmtId="0" fontId="16" fillId="19" borderId="0" applyNumberFormat="0" applyBorder="0" applyAlignment="0" applyProtection="0"/>
    <xf numFmtId="0" fontId="16" fillId="17" borderId="0" applyNumberFormat="0" applyBorder="0" applyAlignment="0" applyProtection="0"/>
    <xf numFmtId="0" fontId="17" fillId="3" borderId="0" applyNumberFormat="0" applyBorder="0" applyAlignment="0" applyProtection="0"/>
    <xf numFmtId="0" fontId="17" fillId="5" borderId="0" applyNumberFormat="0" applyBorder="0" applyAlignment="0" applyProtection="0"/>
    <xf numFmtId="186" fontId="84" fillId="0" borderId="101" applyNumberFormat="0" applyFill="0" applyAlignment="0" applyProtection="0">
      <alignment horizontal="center"/>
    </xf>
    <xf numFmtId="187" fontId="84" fillId="0" borderId="33" applyFill="0" applyAlignment="0" applyProtection="0">
      <alignment horizontal="center"/>
    </xf>
    <xf numFmtId="187" fontId="84" fillId="0" borderId="33" applyFill="0" applyAlignment="0" applyProtection="0">
      <alignment horizontal="center"/>
    </xf>
    <xf numFmtId="187" fontId="84" fillId="0" borderId="33" applyFill="0" applyAlignment="0" applyProtection="0">
      <alignment horizontal="center"/>
    </xf>
    <xf numFmtId="187" fontId="84" fillId="0" borderId="33" applyFill="0" applyAlignment="0" applyProtection="0">
      <alignment horizontal="center"/>
    </xf>
    <xf numFmtId="187" fontId="84" fillId="0" borderId="33" applyFill="0" applyAlignment="0" applyProtection="0">
      <alignment horizontal="center"/>
    </xf>
    <xf numFmtId="187" fontId="84" fillId="0" borderId="33" applyFill="0" applyAlignment="0" applyProtection="0">
      <alignment horizontal="center"/>
    </xf>
    <xf numFmtId="187" fontId="84" fillId="0" borderId="33" applyFill="0" applyAlignment="0" applyProtection="0">
      <alignment horizontal="center"/>
    </xf>
    <xf numFmtId="187" fontId="84" fillId="0" borderId="33" applyFill="0" applyAlignment="0" applyProtection="0">
      <alignment horizontal="center"/>
    </xf>
    <xf numFmtId="0" fontId="18" fillId="22" borderId="1" applyNumberFormat="0" applyAlignment="0" applyProtection="0"/>
    <xf numFmtId="0" fontId="18" fillId="22" borderId="1" applyNumberFormat="0" applyAlignment="0" applyProtection="0"/>
    <xf numFmtId="0" fontId="18" fillId="22" borderId="1" applyNumberFormat="0" applyAlignment="0" applyProtection="0"/>
    <xf numFmtId="0" fontId="18" fillId="22" borderId="1" applyNumberFormat="0" applyAlignment="0" applyProtection="0"/>
    <xf numFmtId="0" fontId="18" fillId="22" borderId="1" applyNumberFormat="0" applyAlignment="0" applyProtection="0"/>
    <xf numFmtId="0" fontId="18" fillId="22" borderId="1" applyNumberFormat="0" applyAlignment="0" applyProtection="0"/>
    <xf numFmtId="0" fontId="85" fillId="46" borderId="1" applyNumberFormat="0" applyAlignment="0" applyProtection="0"/>
    <xf numFmtId="0" fontId="85" fillId="46" borderId="1" applyNumberFormat="0" applyAlignment="0" applyProtection="0"/>
    <xf numFmtId="0" fontId="18" fillId="22" borderId="1" applyNumberFormat="0" applyAlignment="0" applyProtection="0"/>
    <xf numFmtId="0" fontId="19" fillId="23" borderId="2" applyNumberFormat="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39" fontId="1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88" fontId="12" fillId="0" borderId="0" applyFont="0" applyFill="0" applyBorder="0" applyAlignment="0" applyProtection="0"/>
    <xf numFmtId="43" fontId="9" fillId="0" borderId="0" applyFont="0" applyFill="0" applyBorder="0" applyAlignment="0" applyProtection="0"/>
    <xf numFmtId="170" fontId="87" fillId="0" borderId="0" applyFont="0" applyFill="0" applyBorder="0" applyAlignment="0" applyProtection="0"/>
    <xf numFmtId="188" fontId="12" fillId="0" borderId="0" applyFont="0" applyFill="0" applyBorder="0" applyAlignment="0" applyProtection="0"/>
    <xf numFmtId="170" fontId="87" fillId="0" borderId="0" applyFont="0" applyFill="0" applyBorder="0" applyAlignment="0" applyProtection="0"/>
    <xf numFmtId="188" fontId="12" fillId="0" borderId="0" applyFont="0" applyFill="0" applyBorder="0" applyAlignment="0" applyProtection="0"/>
    <xf numFmtId="170" fontId="8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8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3" fontId="12" fillId="0" borderId="0" applyFill="0" applyBorder="0" applyAlignment="0" applyProtection="0"/>
    <xf numFmtId="0" fontId="89" fillId="0" borderId="0"/>
    <xf numFmtId="0" fontId="8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169" fontId="3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4" fontId="15" fillId="0" borderId="0" applyFont="0" applyFill="0" applyBorder="0" applyAlignment="0" applyProtection="0"/>
    <xf numFmtId="44" fontId="9" fillId="0" borderId="0" applyFont="0" applyFill="0" applyBorder="0" applyAlignment="0" applyProtection="0"/>
    <xf numFmtId="44" fontId="88"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6" fontId="12" fillId="0" borderId="0" applyFont="0" applyFill="0" applyBorder="0" applyAlignment="0" applyProtection="0"/>
    <xf numFmtId="14" fontId="48" fillId="0" borderId="0">
      <alignment horizontal="left"/>
    </xf>
    <xf numFmtId="189" fontId="90" fillId="32" borderId="0" applyFont="0" applyFill="0" applyBorder="0" applyAlignment="0" applyProtection="0">
      <alignment vertical="center"/>
    </xf>
    <xf numFmtId="190" fontId="90" fillId="32" borderId="0" applyFont="0" applyFill="0" applyBorder="0" applyAlignment="0" applyProtection="0">
      <alignment vertical="center"/>
    </xf>
    <xf numFmtId="39" fontId="90" fillId="38" borderId="0" applyFont="0" applyFill="0" applyBorder="0" applyAlignment="0" applyProtection="0">
      <alignment vertical="center"/>
    </xf>
    <xf numFmtId="0" fontId="20" fillId="0" borderId="0" applyNumberFormat="0" applyFill="0" applyBorder="0" applyAlignment="0" applyProtection="0"/>
    <xf numFmtId="0" fontId="91" fillId="0" borderId="0">
      <protection locked="0"/>
    </xf>
    <xf numFmtId="0" fontId="91" fillId="0" borderId="0">
      <protection locked="0"/>
    </xf>
    <xf numFmtId="0" fontId="92" fillId="0" borderId="0">
      <protection locked="0"/>
    </xf>
    <xf numFmtId="0" fontId="91" fillId="0" borderId="0">
      <protection locked="0"/>
    </xf>
    <xf numFmtId="0" fontId="91" fillId="0" borderId="0">
      <protection locked="0"/>
    </xf>
    <xf numFmtId="0" fontId="91" fillId="0" borderId="0">
      <protection locked="0"/>
    </xf>
    <xf numFmtId="0" fontId="92" fillId="0" borderId="0">
      <protection locked="0"/>
    </xf>
    <xf numFmtId="0" fontId="89" fillId="0" borderId="0"/>
    <xf numFmtId="0" fontId="89" fillId="0" borderId="0"/>
    <xf numFmtId="191" fontId="93" fillId="0" borderId="0"/>
    <xf numFmtId="191" fontId="93" fillId="0" borderId="0"/>
    <xf numFmtId="191" fontId="93" fillId="0" borderId="0"/>
    <xf numFmtId="192" fontId="93" fillId="0" borderId="0"/>
    <xf numFmtId="192" fontId="93" fillId="0" borderId="0"/>
    <xf numFmtId="192" fontId="93" fillId="0" borderId="0"/>
    <xf numFmtId="192" fontId="93" fillId="0" borderId="0"/>
    <xf numFmtId="193" fontId="93" fillId="0" borderId="0"/>
    <xf numFmtId="194" fontId="93" fillId="0" borderId="0"/>
    <xf numFmtId="194" fontId="93" fillId="0" borderId="0"/>
    <xf numFmtId="194" fontId="93" fillId="0" borderId="0"/>
    <xf numFmtId="194" fontId="93" fillId="0" borderId="0"/>
    <xf numFmtId="193" fontId="93" fillId="0" borderId="0"/>
    <xf numFmtId="195" fontId="93" fillId="0" borderId="0"/>
    <xf numFmtId="195" fontId="93" fillId="0" borderId="0"/>
    <xf numFmtId="195" fontId="93" fillId="0" borderId="0"/>
    <xf numFmtId="195" fontId="93" fillId="0" borderId="0"/>
    <xf numFmtId="195" fontId="93" fillId="0" borderId="0"/>
    <xf numFmtId="0" fontId="21" fillId="4" borderId="0" applyNumberFormat="0" applyBorder="0" applyAlignment="0" applyProtection="0"/>
    <xf numFmtId="0" fontId="21" fillId="6" borderId="0" applyNumberFormat="0" applyBorder="0" applyAlignment="0" applyProtection="0"/>
    <xf numFmtId="38" fontId="13" fillId="32" borderId="0" applyNumberFormat="0" applyBorder="0" applyAlignment="0" applyProtection="0"/>
    <xf numFmtId="0" fontId="36" fillId="0" borderId="3" applyNumberFormat="0" applyAlignment="0" applyProtection="0">
      <alignment horizontal="left" vertical="center"/>
    </xf>
    <xf numFmtId="0" fontId="94" fillId="0" borderId="0" applyNumberFormat="0" applyBorder="0" applyAlignment="0">
      <alignment horizontal="center"/>
    </xf>
    <xf numFmtId="0" fontId="22" fillId="0" borderId="5" applyNumberFormat="0" applyFill="0" applyAlignment="0" applyProtection="0"/>
    <xf numFmtId="0" fontId="95" fillId="0" borderId="0" applyNumberFormat="0" applyFill="0" applyBorder="0" applyAlignment="0" applyProtection="0"/>
    <xf numFmtId="0" fontId="23" fillId="0" borderId="6" applyNumberFormat="0" applyFill="0" applyAlignment="0" applyProtection="0"/>
    <xf numFmtId="0" fontId="36" fillId="0" borderId="0" applyNumberFormat="0" applyFill="0" applyBorder="0" applyAlignment="0" applyProtection="0"/>
    <xf numFmtId="0" fontId="96" fillId="0" borderId="115" applyNumberFormat="0" applyFill="0" applyAlignment="0" applyProtection="0"/>
    <xf numFmtId="0" fontId="24" fillId="0" borderId="0" applyNumberFormat="0" applyFill="0" applyBorder="0" applyAlignment="0" applyProtection="0"/>
    <xf numFmtId="0" fontId="96" fillId="0" borderId="0" applyNumberFormat="0" applyFill="0" applyBorder="0" applyAlignment="0" applyProtection="0"/>
    <xf numFmtId="0" fontId="76" fillId="0" borderId="0" applyNumberFormat="0" applyFill="0" applyBorder="0" applyAlignment="0" applyProtection="0"/>
    <xf numFmtId="10" fontId="13" fillId="47" borderId="12" applyNumberFormat="0" applyBorder="0" applyAlignment="0" applyProtection="0"/>
    <xf numFmtId="10" fontId="13" fillId="47" borderId="12" applyNumberFormat="0" applyBorder="0" applyAlignment="0" applyProtection="0"/>
    <xf numFmtId="10" fontId="13" fillId="47" borderId="12" applyNumberFormat="0" applyBorder="0" applyAlignment="0" applyProtection="0"/>
    <xf numFmtId="0" fontId="25" fillId="7" borderId="1" applyNumberFormat="0" applyAlignment="0" applyProtection="0"/>
    <xf numFmtId="0" fontId="25" fillId="7" borderId="1" applyNumberFormat="0" applyAlignment="0" applyProtection="0"/>
    <xf numFmtId="0" fontId="25" fillId="7" borderId="1" applyNumberFormat="0" applyAlignment="0" applyProtection="0"/>
    <xf numFmtId="0" fontId="25" fillId="7" borderId="1" applyNumberFormat="0" applyAlignment="0" applyProtection="0"/>
    <xf numFmtId="0" fontId="25" fillId="7" borderId="1" applyNumberFormat="0" applyAlignment="0" applyProtection="0"/>
    <xf numFmtId="0" fontId="25" fillId="7" borderId="1" applyNumberFormat="0" applyAlignment="0" applyProtection="0"/>
    <xf numFmtId="0" fontId="25" fillId="26" borderId="1" applyNumberFormat="0" applyAlignment="0" applyProtection="0"/>
    <xf numFmtId="0" fontId="25" fillId="26" borderId="1" applyNumberFormat="0" applyAlignment="0" applyProtection="0"/>
    <xf numFmtId="0" fontId="25" fillId="7" borderId="1" applyNumberFormat="0" applyAlignment="0" applyProtection="0"/>
    <xf numFmtId="49" fontId="34" fillId="0" borderId="0" applyFill="0" applyBorder="0" applyProtection="0"/>
    <xf numFmtId="196" fontId="34" fillId="0" borderId="0" applyFill="0" applyBorder="0" applyProtection="0"/>
    <xf numFmtId="197" fontId="34" fillId="0" borderId="0" applyFill="0" applyBorder="0" applyProtection="0"/>
    <xf numFmtId="0" fontId="26" fillId="0" borderId="8" applyNumberFormat="0" applyFill="0" applyAlignment="0" applyProtection="0"/>
    <xf numFmtId="0" fontId="32" fillId="0" borderId="116" applyNumberFormat="0" applyFill="0" applyAlignment="0" applyProtection="0"/>
    <xf numFmtId="0" fontId="27" fillId="26" borderId="0" applyNumberFormat="0" applyBorder="0" applyAlignment="0" applyProtection="0"/>
    <xf numFmtId="0" fontId="97" fillId="26" borderId="0" applyNumberFormat="0" applyBorder="0" applyAlignment="0" applyProtection="0"/>
    <xf numFmtId="0" fontId="84" fillId="0" borderId="0" applyNumberFormat="0" applyFill="0" applyAlignment="0" applyProtection="0"/>
    <xf numFmtId="0" fontId="98"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2" fillId="0" borderId="0"/>
    <xf numFmtId="0" fontId="100" fillId="0" borderId="0"/>
    <xf numFmtId="0" fontId="93" fillId="0" borderId="0"/>
    <xf numFmtId="0" fontId="93" fillId="0" borderId="0"/>
    <xf numFmtId="0" fontId="93" fillId="0" borderId="0"/>
    <xf numFmtId="0" fontId="101" fillId="0" borderId="0" applyAlignment="0"/>
    <xf numFmtId="0" fontId="88" fillId="0" borderId="0"/>
    <xf numFmtId="0" fontId="9" fillId="0" borderId="0"/>
    <xf numFmtId="0" fontId="9" fillId="0" borderId="0"/>
    <xf numFmtId="0" fontId="101" fillId="0" borderId="0" applyAlignment="0"/>
    <xf numFmtId="0" fontId="12" fillId="0" borderId="0"/>
    <xf numFmtId="0" fontId="9" fillId="0" borderId="0"/>
    <xf numFmtId="0" fontId="9" fillId="0" borderId="0"/>
    <xf numFmtId="0" fontId="9" fillId="0" borderId="0"/>
    <xf numFmtId="0" fontId="9" fillId="0" borderId="0"/>
    <xf numFmtId="0" fontId="9" fillId="0" borderId="0"/>
    <xf numFmtId="0" fontId="101" fillId="0" borderId="0" applyAlignment="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alignment wrapText="1"/>
    </xf>
    <xf numFmtId="0" fontId="12" fillId="0" borderId="0"/>
    <xf numFmtId="0" fontId="9" fillId="0" borderId="0"/>
    <xf numFmtId="0" fontId="9" fillId="0" borderId="0"/>
    <xf numFmtId="0" fontId="9" fillId="0" borderId="0"/>
    <xf numFmtId="0" fontId="9" fillId="0" borderId="0"/>
    <xf numFmtId="0" fontId="93" fillId="0" borderId="0"/>
    <xf numFmtId="0" fontId="15" fillId="0" borderId="0"/>
    <xf numFmtId="0" fontId="12" fillId="0" borderId="0"/>
    <xf numFmtId="0" fontId="9" fillId="0" borderId="0"/>
    <xf numFmtId="0" fontId="9" fillId="0" borderId="0"/>
    <xf numFmtId="0" fontId="70" fillId="0" borderId="0"/>
    <xf numFmtId="0" fontId="12" fillId="0" borderId="0" applyProtection="0">
      <alignment horizontal="centerContinuous" vertical="top"/>
    </xf>
    <xf numFmtId="0" fontId="12" fillId="0" borderId="0"/>
    <xf numFmtId="0" fontId="12" fillId="0" borderId="0"/>
    <xf numFmtId="0" fontId="15" fillId="0" borderId="0"/>
    <xf numFmtId="0" fontId="9" fillId="48" borderId="117" applyNumberFormat="0" applyFont="0" applyAlignment="0" applyProtection="0"/>
    <xf numFmtId="0" fontId="12" fillId="27" borderId="9" applyNumberFormat="0" applyFont="0" applyAlignment="0" applyProtection="0"/>
    <xf numFmtId="0" fontId="12" fillId="27" borderId="9" applyNumberFormat="0" applyFont="0" applyAlignment="0" applyProtection="0"/>
    <xf numFmtId="0" fontId="12" fillId="27" borderId="9" applyNumberFormat="0" applyFont="0" applyAlignment="0" applyProtection="0"/>
    <xf numFmtId="0" fontId="12" fillId="27" borderId="9" applyNumberFormat="0" applyFont="0" applyAlignment="0" applyProtection="0"/>
    <xf numFmtId="0" fontId="12" fillId="27" borderId="9" applyNumberFormat="0" applyFont="0" applyAlignment="0" applyProtection="0"/>
    <xf numFmtId="0" fontId="12" fillId="27" borderId="9" applyNumberFormat="0" applyFont="0" applyAlignment="0" applyProtection="0"/>
    <xf numFmtId="0" fontId="12" fillId="27" borderId="9" applyNumberFormat="0" applyFont="0" applyAlignment="0" applyProtection="0"/>
    <xf numFmtId="198" fontId="84" fillId="0" borderId="0" applyFill="0" applyBorder="0" applyAlignment="0" applyProtection="0"/>
    <xf numFmtId="0" fontId="29" fillId="22" borderId="10" applyNumberFormat="0" applyAlignment="0" applyProtection="0"/>
    <xf numFmtId="0" fontId="29" fillId="22" borderId="10" applyNumberFormat="0" applyAlignment="0" applyProtection="0"/>
    <xf numFmtId="0" fontId="29" fillId="22" borderId="10" applyNumberFormat="0" applyAlignment="0" applyProtection="0"/>
    <xf numFmtId="0" fontId="29" fillId="22" borderId="10" applyNumberFormat="0" applyAlignment="0" applyProtection="0"/>
    <xf numFmtId="0" fontId="29" fillId="22" borderId="10" applyNumberFormat="0" applyAlignment="0" applyProtection="0"/>
    <xf numFmtId="0" fontId="29" fillId="22" borderId="10" applyNumberFormat="0" applyAlignment="0" applyProtection="0"/>
    <xf numFmtId="0" fontId="29" fillId="46" borderId="10" applyNumberFormat="0" applyAlignment="0" applyProtection="0"/>
    <xf numFmtId="0" fontId="29" fillId="46" borderId="10" applyNumberFormat="0" applyAlignment="0" applyProtection="0"/>
    <xf numFmtId="0" fontId="29" fillId="22" borderId="10" applyNumberFormat="0" applyAlignment="0" applyProtection="0"/>
    <xf numFmtId="40" fontId="102" fillId="38" borderId="0">
      <alignment horizontal="right"/>
    </xf>
    <xf numFmtId="0" fontId="103" fillId="0" borderId="118" applyNumberFormat="0" applyAlignment="0" applyProtection="0"/>
    <xf numFmtId="0" fontId="34" fillId="49" borderId="0" applyNumberFormat="0" applyFont="0" applyBorder="0" applyAlignment="0" applyProtection="0"/>
    <xf numFmtId="0" fontId="13" fillId="20" borderId="16" applyNumberFormat="0" applyFont="0" applyBorder="0" applyAlignment="0" applyProtection="0">
      <alignment horizontal="center"/>
    </xf>
    <xf numFmtId="0" fontId="13" fillId="50" borderId="16" applyNumberFormat="0" applyFont="0" applyBorder="0" applyAlignment="0" applyProtection="0">
      <alignment horizontal="center"/>
    </xf>
    <xf numFmtId="0" fontId="34" fillId="0" borderId="119" applyNumberFormat="0" applyAlignment="0" applyProtection="0"/>
    <xf numFmtId="0" fontId="34" fillId="0" borderId="119" applyNumberFormat="0" applyAlignment="0" applyProtection="0"/>
    <xf numFmtId="0" fontId="34" fillId="0" borderId="119" applyNumberFormat="0" applyAlignment="0" applyProtection="0"/>
    <xf numFmtId="0" fontId="34" fillId="0" borderId="119" applyNumberFormat="0" applyAlignment="0" applyProtection="0"/>
    <xf numFmtId="0" fontId="34" fillId="0" borderId="119" applyNumberFormat="0" applyAlignment="0" applyProtection="0"/>
    <xf numFmtId="0" fontId="34" fillId="0" borderId="120" applyNumberFormat="0" applyAlignment="0" applyProtection="0"/>
    <xf numFmtId="0" fontId="34" fillId="0" borderId="120" applyNumberFormat="0" applyAlignment="0" applyProtection="0"/>
    <xf numFmtId="0" fontId="34" fillId="0" borderId="120" applyNumberFormat="0" applyAlignment="0" applyProtection="0"/>
    <xf numFmtId="0" fontId="34" fillId="0" borderId="120" applyNumberFormat="0" applyAlignment="0" applyProtection="0"/>
    <xf numFmtId="0" fontId="34" fillId="0" borderId="120" applyNumberFormat="0" applyAlignment="0" applyProtection="0"/>
    <xf numFmtId="0" fontId="34" fillId="0" borderId="120" applyNumberFormat="0" applyAlignment="0" applyProtection="0"/>
    <xf numFmtId="0" fontId="34" fillId="0" borderId="120" applyNumberFormat="0" applyAlignment="0" applyProtection="0"/>
    <xf numFmtId="0" fontId="34" fillId="0" borderId="120" applyNumberFormat="0" applyAlignment="0" applyProtection="0"/>
    <xf numFmtId="0" fontId="34" fillId="0" borderId="120" applyNumberFormat="0" applyAlignment="0" applyProtection="0"/>
    <xf numFmtId="0" fontId="34" fillId="0" borderId="120" applyNumberFormat="0" applyAlignment="0" applyProtection="0"/>
    <xf numFmtId="0" fontId="34" fillId="0" borderId="120" applyNumberFormat="0" applyAlignment="0" applyProtection="0"/>
    <xf numFmtId="0" fontId="34" fillId="0" borderId="120" applyNumberFormat="0" applyAlignment="0" applyProtection="0"/>
    <xf numFmtId="0" fontId="34" fillId="0" borderId="120" applyNumberFormat="0" applyAlignment="0" applyProtection="0"/>
    <xf numFmtId="0" fontId="34" fillId="0" borderId="120" applyNumberFormat="0" applyAlignment="0" applyProtection="0"/>
    <xf numFmtId="0" fontId="103" fillId="0" borderId="121" applyNumberFormat="0" applyAlignment="0" applyProtection="0"/>
    <xf numFmtId="0" fontId="89" fillId="0" borderId="0"/>
    <xf numFmtId="10"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87"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8"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04" fillId="0" borderId="0" applyNumberFormat="0" applyFont="0" applyFill="0" applyBorder="0" applyAlignment="0" applyProtection="0">
      <alignment horizontal="left"/>
    </xf>
    <xf numFmtId="15" fontId="104" fillId="0" borderId="0" applyFont="0" applyFill="0" applyBorder="0" applyAlignment="0" applyProtection="0"/>
    <xf numFmtId="4" fontId="104" fillId="0" borderId="0" applyFont="0" applyFill="0" applyBorder="0" applyAlignment="0" applyProtection="0"/>
    <xf numFmtId="0" fontId="105" fillId="0" borderId="26">
      <alignment horizontal="center"/>
    </xf>
    <xf numFmtId="3" fontId="104" fillId="0" borderId="0" applyFont="0" applyFill="0" applyBorder="0" applyAlignment="0" applyProtection="0"/>
    <xf numFmtId="0" fontId="104" fillId="51" borderId="0" applyNumberFormat="0" applyFont="0" applyBorder="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93" fillId="0" borderId="0"/>
    <xf numFmtId="0" fontId="45" fillId="0" borderId="0" applyNumberFormat="0" applyBorder="0" applyAlignment="0"/>
    <xf numFmtId="0" fontId="45" fillId="0" borderId="0" applyNumberFormat="0" applyBorder="0" applyAlignment="0"/>
    <xf numFmtId="0" fontId="45" fillId="0" borderId="0" applyNumberFormat="0" applyBorder="0" applyAlignment="0"/>
    <xf numFmtId="0" fontId="45" fillId="0" borderId="0" applyNumberFormat="0" applyBorder="0" applyAlignment="0"/>
    <xf numFmtId="0" fontId="93" fillId="0" borderId="0"/>
    <xf numFmtId="0" fontId="93" fillId="0" borderId="0"/>
    <xf numFmtId="0" fontId="106" fillId="15" borderId="0" applyNumberFormat="0" applyBorder="0" applyAlignment="0"/>
    <xf numFmtId="0" fontId="106" fillId="3" borderId="0" applyNumberFormat="0" applyBorder="0" applyAlignment="0"/>
    <xf numFmtId="0" fontId="106" fillId="15" borderId="0" applyNumberFormat="0" applyBorder="0" applyAlignment="0"/>
    <xf numFmtId="0" fontId="107" fillId="0" borderId="0"/>
    <xf numFmtId="0" fontId="67" fillId="0" borderId="0" applyNumberFormat="0" applyBorder="0" applyAlignment="0"/>
    <xf numFmtId="0" fontId="93" fillId="0" borderId="0"/>
    <xf numFmtId="0" fontId="67" fillId="0" borderId="0" applyNumberFormat="0" applyBorder="0" applyAlignment="0"/>
    <xf numFmtId="0" fontId="93" fillId="0" borderId="0"/>
    <xf numFmtId="0" fontId="93" fillId="0" borderId="0"/>
    <xf numFmtId="0" fontId="107" fillId="0" borderId="0"/>
    <xf numFmtId="0" fontId="108" fillId="0" borderId="0"/>
    <xf numFmtId="0" fontId="109" fillId="22" borderId="0" applyNumberFormat="0" applyBorder="0" applyAlignment="0"/>
    <xf numFmtId="0" fontId="108" fillId="0" borderId="0"/>
    <xf numFmtId="0" fontId="107" fillId="0" borderId="0"/>
    <xf numFmtId="0" fontId="109" fillId="22" borderId="0" applyNumberFormat="0" applyBorder="0" applyAlignment="0"/>
    <xf numFmtId="0" fontId="107" fillId="0" borderId="0"/>
    <xf numFmtId="0" fontId="110" fillId="0" borderId="0"/>
    <xf numFmtId="0" fontId="45" fillId="0" borderId="0" applyNumberFormat="0" applyBorder="0" applyAlignment="0"/>
    <xf numFmtId="0" fontId="45" fillId="0" borderId="0" applyNumberFormat="0" applyBorder="0" applyAlignment="0"/>
    <xf numFmtId="0" fontId="110" fillId="0" borderId="0"/>
    <xf numFmtId="0" fontId="111" fillId="0" borderId="0"/>
    <xf numFmtId="0" fontId="106" fillId="6" borderId="0" applyNumberFormat="0" applyBorder="0" applyAlignment="0"/>
    <xf numFmtId="0" fontId="111" fillId="0" borderId="0"/>
    <xf numFmtId="0" fontId="106" fillId="52" borderId="0" applyNumberFormat="0" applyBorder="0" applyAlignment="0"/>
    <xf numFmtId="0" fontId="106" fillId="3" borderId="0" applyNumberFormat="0" applyBorder="0" applyAlignment="0"/>
    <xf numFmtId="0" fontId="106" fillId="15" borderId="0" applyNumberFormat="0" applyBorder="0" applyAlignment="0"/>
    <xf numFmtId="49" fontId="12" fillId="0" borderId="0" applyFont="0" applyFill="0" applyBorder="0" applyAlignment="0" applyProtection="0"/>
    <xf numFmtId="0" fontId="30" fillId="0" borderId="0" applyNumberFormat="0" applyFill="0" applyBorder="0" applyAlignment="0" applyProtection="0"/>
    <xf numFmtId="0" fontId="112" fillId="0" borderId="0" applyNumberFormat="0" applyFill="0" applyBorder="0" applyAlignment="0" applyProtection="0"/>
    <xf numFmtId="0" fontId="31" fillId="0" borderId="11" applyNumberFormat="0" applyFill="0" applyAlignment="0" applyProtection="0"/>
    <xf numFmtId="0" fontId="31" fillId="0" borderId="11" applyNumberFormat="0" applyFill="0" applyAlignment="0" applyProtection="0"/>
    <xf numFmtId="0" fontId="31" fillId="0" borderId="11" applyNumberFormat="0" applyFill="0" applyAlignment="0" applyProtection="0"/>
    <xf numFmtId="0" fontId="31" fillId="0" borderId="11" applyNumberFormat="0" applyFill="0" applyAlignment="0" applyProtection="0"/>
    <xf numFmtId="0" fontId="31" fillId="0" borderId="11" applyNumberFormat="0" applyFill="0" applyAlignment="0" applyProtection="0"/>
    <xf numFmtId="0" fontId="31" fillId="0" borderId="11" applyNumberFormat="0" applyFill="0" applyAlignment="0" applyProtection="0"/>
    <xf numFmtId="0" fontId="12" fillId="0" borderId="122" applyNumberFormat="0" applyFont="0" applyFill="0" applyAlignment="0" applyProtection="0"/>
    <xf numFmtId="0" fontId="31" fillId="0" borderId="11" applyNumberFormat="0" applyFill="0" applyAlignment="0" applyProtection="0"/>
    <xf numFmtId="0" fontId="32" fillId="0" borderId="0" applyNumberFormat="0" applyFill="0" applyBorder="0" applyAlignment="0" applyProtection="0"/>
    <xf numFmtId="0" fontId="12" fillId="0" borderId="0"/>
    <xf numFmtId="0" fontId="34" fillId="0" borderId="130" applyNumberFormat="0" applyAlignment="0" applyProtection="0"/>
    <xf numFmtId="0" fontId="34" fillId="0" borderId="130" applyNumberFormat="0" applyAlignment="0" applyProtection="0"/>
    <xf numFmtId="0" fontId="34" fillId="0" borderId="129" applyNumberFormat="0" applyAlignment="0" applyProtection="0"/>
    <xf numFmtId="0" fontId="12" fillId="0" borderId="0"/>
    <xf numFmtId="0" fontId="36" fillId="0" borderId="127" applyNumberFormat="0" applyAlignment="0" applyProtection="0">
      <alignment horizontal="left" vertical="center"/>
    </xf>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34" fillId="0" borderId="129" applyNumberFormat="0" applyAlignment="0" applyProtection="0"/>
    <xf numFmtId="0" fontId="34" fillId="0" borderId="130" applyNumberFormat="0" applyAlignment="0" applyProtection="0"/>
    <xf numFmtId="0" fontId="34" fillId="0" borderId="130" applyNumberFormat="0" applyAlignment="0" applyProtection="0"/>
    <xf numFmtId="0" fontId="34" fillId="0" borderId="130" applyNumberFormat="0" applyAlignment="0" applyProtection="0"/>
    <xf numFmtId="0" fontId="34" fillId="0" borderId="130"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34" fillId="0" borderId="129" applyNumberFormat="0" applyAlignment="0" applyProtection="0"/>
    <xf numFmtId="0" fontId="34" fillId="0" borderId="129" applyNumberFormat="0" applyAlignment="0" applyProtection="0"/>
    <xf numFmtId="0" fontId="34" fillId="0" borderId="129" applyNumberFormat="0" applyAlignment="0" applyProtection="0"/>
    <xf numFmtId="0" fontId="34" fillId="0" borderId="129" applyNumberFormat="0" applyAlignment="0" applyProtection="0"/>
    <xf numFmtId="0" fontId="34" fillId="0" borderId="129" applyNumberFormat="0" applyAlignment="0" applyProtection="0"/>
    <xf numFmtId="0" fontId="34" fillId="0" borderId="129" applyNumberFormat="0" applyAlignment="0" applyProtection="0"/>
    <xf numFmtId="0" fontId="34" fillId="0" borderId="129" applyNumberFormat="0" applyAlignment="0" applyProtection="0"/>
    <xf numFmtId="0" fontId="34" fillId="0" borderId="129" applyNumberFormat="0" applyAlignment="0" applyProtection="0"/>
    <xf numFmtId="0" fontId="34" fillId="0" borderId="129" applyNumberForma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48" borderId="117" applyNumberFormat="0" applyFont="0" applyAlignment="0" applyProtection="0"/>
    <xf numFmtId="0" fontId="12" fillId="0" borderId="0"/>
    <xf numFmtId="0" fontId="34" fillId="0" borderId="125" applyNumberFormat="0" applyAlignment="0" applyProtection="0"/>
    <xf numFmtId="0" fontId="34" fillId="0" borderId="125" applyNumberFormat="0" applyAlignment="0" applyProtection="0"/>
    <xf numFmtId="0" fontId="34" fillId="0" borderId="125" applyNumberFormat="0" applyAlignment="0" applyProtection="0"/>
    <xf numFmtId="0" fontId="34" fillId="0" borderId="125" applyNumberFormat="0" applyAlignment="0" applyProtection="0"/>
    <xf numFmtId="0" fontId="34" fillId="0" borderId="125" applyNumberFormat="0" applyAlignment="0" applyProtection="0"/>
    <xf numFmtId="0" fontId="34" fillId="0" borderId="125" applyNumberFormat="0" applyAlignment="0" applyProtection="0"/>
    <xf numFmtId="0" fontId="34" fillId="0" borderId="125" applyNumberFormat="0" applyAlignment="0" applyProtection="0"/>
    <xf numFmtId="0" fontId="34" fillId="0" borderId="125" applyNumberFormat="0" applyAlignment="0" applyProtection="0"/>
    <xf numFmtId="0" fontId="34" fillId="0" borderId="125" applyNumberFormat="0" applyAlignment="0" applyProtection="0"/>
    <xf numFmtId="0" fontId="34" fillId="0" borderId="125" applyNumberFormat="0" applyAlignment="0" applyProtection="0"/>
    <xf numFmtId="0" fontId="34" fillId="0" borderId="125" applyNumberFormat="0" applyAlignment="0" applyProtection="0"/>
    <xf numFmtId="0" fontId="34" fillId="0" borderId="125" applyNumberFormat="0" applyAlignment="0" applyProtection="0"/>
    <xf numFmtId="0" fontId="34" fillId="0" borderId="125" applyNumberFormat="0" applyAlignment="0" applyProtection="0"/>
    <xf numFmtId="0" fontId="34" fillId="0" borderId="125"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2"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36" fillId="0" borderId="127" applyNumberFormat="0" applyAlignment="0" applyProtection="0">
      <alignment horizontal="left" vertical="center"/>
    </xf>
    <xf numFmtId="0" fontId="34" fillId="0" borderId="129" applyNumberFormat="0" applyAlignment="0" applyProtection="0"/>
    <xf numFmtId="0" fontId="34" fillId="0" borderId="129" applyNumberFormat="0" applyAlignment="0" applyProtection="0"/>
    <xf numFmtId="0" fontId="34" fillId="0" borderId="129" applyNumberFormat="0" applyAlignment="0" applyProtection="0"/>
    <xf numFmtId="0" fontId="12" fillId="0" borderId="0"/>
    <xf numFmtId="0" fontId="34" fillId="0" borderId="130" applyNumberFormat="0" applyAlignment="0" applyProtection="0"/>
    <xf numFmtId="0" fontId="34" fillId="0" borderId="130" applyNumberFormat="0" applyAlignment="0" applyProtection="0"/>
    <xf numFmtId="0" fontId="34" fillId="0" borderId="130" applyNumberFormat="0" applyAlignment="0" applyProtection="0"/>
    <xf numFmtId="0" fontId="34" fillId="0" borderId="130" applyNumberFormat="0" applyAlignment="0" applyProtection="0"/>
    <xf numFmtId="0" fontId="34" fillId="0" borderId="130" applyNumberFormat="0" applyAlignment="0" applyProtection="0"/>
    <xf numFmtId="0" fontId="34" fillId="0" borderId="130" applyNumberFormat="0" applyAlignment="0" applyProtection="0"/>
    <xf numFmtId="0" fontId="34" fillId="0" borderId="130" applyNumberFormat="0" applyAlignment="0" applyProtection="0"/>
    <xf numFmtId="0" fontId="34" fillId="0" borderId="130" applyNumberFormat="0" applyAlignment="0" applyProtection="0"/>
    <xf numFmtId="0" fontId="12" fillId="0" borderId="0"/>
    <xf numFmtId="0" fontId="116" fillId="0" borderId="0" applyProtection="0">
      <alignment horizontal="centerContinuous" vertical="top"/>
    </xf>
    <xf numFmtId="0" fontId="8" fillId="0" borderId="0"/>
    <xf numFmtId="43" fontId="8" fillId="0" borderId="0" applyFont="0" applyFill="0" applyBorder="0" applyAlignment="0" applyProtection="0"/>
    <xf numFmtId="9" fontId="8" fillId="0" borderId="0" applyFont="0" applyFill="0" applyBorder="0" applyAlignment="0" applyProtection="0"/>
    <xf numFmtId="0" fontId="12" fillId="0" borderId="0"/>
  </cellStyleXfs>
  <cellXfs count="984">
    <xf numFmtId="0" fontId="0" fillId="0" borderId="0" xfId="0"/>
    <xf numFmtId="0" fontId="14" fillId="32" borderId="12" xfId="0" applyFont="1" applyFill="1" applyBorder="1"/>
    <xf numFmtId="0" fontId="0" fillId="32" borderId="0" xfId="0" applyFill="1"/>
    <xf numFmtId="168" fontId="12" fillId="0" borderId="0" xfId="90" applyNumberFormat="1" applyFont="1"/>
    <xf numFmtId="0" fontId="14" fillId="32" borderId="0" xfId="0" applyFont="1" applyFill="1"/>
    <xf numFmtId="168" fontId="12" fillId="32" borderId="0" xfId="90" applyNumberFormat="1" applyFont="1" applyFill="1"/>
    <xf numFmtId="0" fontId="14" fillId="32" borderId="0" xfId="0" applyFont="1" applyFill="1" applyAlignment="1">
      <alignment wrapText="1"/>
    </xf>
    <xf numFmtId="0" fontId="33" fillId="0" borderId="0" xfId="0" applyFont="1"/>
    <xf numFmtId="0" fontId="28" fillId="0" borderId="0" xfId="0" applyFont="1"/>
    <xf numFmtId="168" fontId="28" fillId="0" borderId="0" xfId="90" applyNumberFormat="1" applyFont="1"/>
    <xf numFmtId="166" fontId="28" fillId="0" borderId="0" xfId="34" applyNumberFormat="1" applyFont="1"/>
    <xf numFmtId="0" fontId="34" fillId="0" borderId="0" xfId="0" applyFont="1"/>
    <xf numFmtId="168" fontId="12" fillId="0" borderId="13" xfId="90" applyNumberFormat="1" applyFont="1" applyBorder="1"/>
    <xf numFmtId="168" fontId="12" fillId="0" borderId="0" xfId="90" applyNumberFormat="1" applyFont="1" applyBorder="1"/>
    <xf numFmtId="168" fontId="34" fillId="0" borderId="0" xfId="0" applyNumberFormat="1" applyFont="1"/>
    <xf numFmtId="0" fontId="34" fillId="32" borderId="0" xfId="0" applyFont="1" applyFill="1"/>
    <xf numFmtId="168" fontId="14" fillId="32" borderId="13" xfId="90" applyNumberFormat="1" applyFont="1" applyFill="1" applyBorder="1"/>
    <xf numFmtId="0" fontId="14" fillId="0" borderId="0" xfId="0" applyFont="1"/>
    <xf numFmtId="0" fontId="36" fillId="0" borderId="0" xfId="83" applyFont="1" applyAlignment="1">
      <alignment horizontal="left" vertical="center" wrapText="1"/>
    </xf>
    <xf numFmtId="0" fontId="14" fillId="0" borderId="0" xfId="0" applyFont="1" applyAlignment="1">
      <alignment horizontal="left"/>
    </xf>
    <xf numFmtId="0" fontId="36" fillId="0" borderId="0" xfId="0" applyFont="1"/>
    <xf numFmtId="0" fontId="14" fillId="0" borderId="0" xfId="0" applyFont="1" applyAlignment="1">
      <alignment horizontal="right"/>
    </xf>
    <xf numFmtId="14" fontId="40" fillId="0" borderId="0" xfId="0" applyNumberFormat="1" applyFont="1" applyAlignment="1">
      <alignment horizontal="left"/>
    </xf>
    <xf numFmtId="43" fontId="12" fillId="0" borderId="0" xfId="37" applyNumberFormat="1" applyFont="1" applyFill="1" applyBorder="1"/>
    <xf numFmtId="9" fontId="12" fillId="0" borderId="15" xfId="90" applyFont="1" applyBorder="1"/>
    <xf numFmtId="9" fontId="12" fillId="0" borderId="16" xfId="90" applyFont="1" applyBorder="1"/>
    <xf numFmtId="9" fontId="12" fillId="0" borderId="17" xfId="90" applyFont="1" applyBorder="1"/>
    <xf numFmtId="9" fontId="12" fillId="0" borderId="0" xfId="90" applyFont="1" applyBorder="1"/>
    <xf numFmtId="167" fontId="42" fillId="0" borderId="0" xfId="45" applyNumberFormat="1" applyFont="1" applyFill="1"/>
    <xf numFmtId="0" fontId="42" fillId="0" borderId="0" xfId="0" applyFont="1"/>
    <xf numFmtId="167" fontId="42" fillId="0" borderId="0" xfId="0" applyNumberFormat="1" applyFont="1"/>
    <xf numFmtId="167" fontId="14" fillId="0" borderId="0" xfId="45" applyNumberFormat="1" applyFont="1" applyBorder="1" applyAlignment="1">
      <alignment horizontal="center"/>
    </xf>
    <xf numFmtId="44" fontId="14" fillId="0" borderId="0" xfId="45" applyNumberFormat="1" applyFont="1" applyBorder="1" applyAlignment="1">
      <alignment horizontal="center"/>
    </xf>
    <xf numFmtId="167" fontId="14" fillId="0" borderId="0" xfId="45" applyNumberFormat="1" applyFont="1" applyBorder="1"/>
    <xf numFmtId="167" fontId="14" fillId="0" borderId="0" xfId="45" applyNumberFormat="1" applyFont="1" applyFill="1" applyBorder="1"/>
    <xf numFmtId="167" fontId="14" fillId="0" borderId="0" xfId="0" applyNumberFormat="1" applyFont="1"/>
    <xf numFmtId="167" fontId="14" fillId="0" borderId="12" xfId="45" applyNumberFormat="1" applyFont="1" applyBorder="1" applyAlignment="1">
      <alignment horizontal="center"/>
    </xf>
    <xf numFmtId="0" fontId="56" fillId="0" borderId="0" xfId="0" applyFont="1"/>
    <xf numFmtId="0" fontId="57" fillId="0" borderId="0" xfId="0" applyFont="1"/>
    <xf numFmtId="0" fontId="12" fillId="0" borderId="0" xfId="81"/>
    <xf numFmtId="0" fontId="39" fillId="0" borderId="26" xfId="0" applyFont="1" applyBorder="1" applyProtection="1">
      <protection locked="0"/>
    </xf>
    <xf numFmtId="0" fontId="12" fillId="0" borderId="26" xfId="81" applyBorder="1" applyProtection="1">
      <protection locked="0"/>
    </xf>
    <xf numFmtId="0" fontId="39" fillId="0" borderId="0" xfId="0" applyFont="1"/>
    <xf numFmtId="0" fontId="0" fillId="0" borderId="0" xfId="0" applyProtection="1">
      <protection locked="0"/>
    </xf>
    <xf numFmtId="0" fontId="58" fillId="0" borderId="0" xfId="0" applyFont="1"/>
    <xf numFmtId="0" fontId="0" fillId="0" borderId="0" xfId="0" applyAlignment="1">
      <alignment horizontal="center"/>
    </xf>
    <xf numFmtId="0" fontId="0" fillId="32" borderId="0" xfId="0" applyFill="1" applyAlignment="1">
      <alignment horizontal="center"/>
    </xf>
    <xf numFmtId="0" fontId="59" fillId="0" borderId="28" xfId="0" applyFont="1" applyBorder="1" applyAlignment="1">
      <alignment vertical="center" wrapText="1"/>
    </xf>
    <xf numFmtId="0" fontId="59" fillId="0" borderId="31" xfId="0" applyFont="1" applyBorder="1" applyAlignment="1">
      <alignment vertical="center" wrapText="1"/>
    </xf>
    <xf numFmtId="0" fontId="41" fillId="0" borderId="0" xfId="0" applyFont="1"/>
    <xf numFmtId="165" fontId="12" fillId="24" borderId="12" xfId="90" applyNumberFormat="1" applyFont="1" applyFill="1" applyBorder="1"/>
    <xf numFmtId="43" fontId="12" fillId="24" borderId="12" xfId="37" applyNumberFormat="1" applyFont="1" applyFill="1" applyBorder="1"/>
    <xf numFmtId="9" fontId="12" fillId="24" borderId="39" xfId="90" applyFont="1" applyFill="1" applyBorder="1"/>
    <xf numFmtId="9" fontId="12" fillId="24" borderId="21" xfId="90" applyFont="1" applyFill="1" applyBorder="1"/>
    <xf numFmtId="9" fontId="12" fillId="24" borderId="40" xfId="90" applyFont="1" applyFill="1" applyBorder="1"/>
    <xf numFmtId="43" fontId="12" fillId="0" borderId="15" xfId="37" applyNumberFormat="1" applyFont="1" applyBorder="1"/>
    <xf numFmtId="43" fontId="12" fillId="0" borderId="16" xfId="37" applyNumberFormat="1" applyFont="1" applyBorder="1"/>
    <xf numFmtId="43" fontId="12" fillId="0" borderId="17" xfId="37" applyNumberFormat="1" applyFont="1" applyBorder="1"/>
    <xf numFmtId="9" fontId="12" fillId="24" borderId="12" xfId="90" applyFont="1" applyFill="1" applyBorder="1"/>
    <xf numFmtId="167" fontId="12" fillId="24" borderId="12" xfId="45" applyNumberFormat="1" applyFont="1" applyFill="1" applyBorder="1"/>
    <xf numFmtId="165" fontId="12" fillId="24" borderId="42" xfId="90" applyNumberFormat="1" applyFont="1" applyFill="1" applyBorder="1"/>
    <xf numFmtId="165" fontId="12" fillId="24" borderId="41" xfId="90" applyNumberFormat="1" applyFont="1" applyFill="1" applyBorder="1"/>
    <xf numFmtId="43" fontId="12" fillId="24" borderId="41" xfId="37" applyNumberFormat="1" applyFont="1" applyFill="1" applyBorder="1"/>
    <xf numFmtId="43" fontId="12" fillId="24" borderId="42" xfId="37" applyNumberFormat="1" applyFont="1" applyFill="1" applyBorder="1"/>
    <xf numFmtId="9" fontId="12" fillId="24" borderId="41" xfId="90" applyFont="1" applyFill="1" applyBorder="1"/>
    <xf numFmtId="9" fontId="12" fillId="24" borderId="42" xfId="90" applyFont="1" applyFill="1" applyBorder="1"/>
    <xf numFmtId="167" fontId="12" fillId="24" borderId="41" xfId="45" applyNumberFormat="1" applyFont="1" applyFill="1" applyBorder="1"/>
    <xf numFmtId="167" fontId="12" fillId="24" borderId="42" xfId="45" applyNumberFormat="1" applyFont="1" applyFill="1" applyBorder="1"/>
    <xf numFmtId="9" fontId="12" fillId="24" borderId="43" xfId="90" applyFont="1" applyFill="1" applyBorder="1"/>
    <xf numFmtId="9" fontId="12" fillId="24" borderId="44" xfId="90" applyFont="1" applyFill="1" applyBorder="1"/>
    <xf numFmtId="9" fontId="12" fillId="24" borderId="45" xfId="90" applyFont="1" applyFill="1" applyBorder="1"/>
    <xf numFmtId="167" fontId="14" fillId="24" borderId="12" xfId="45" applyNumberFormat="1" applyFont="1" applyFill="1" applyBorder="1"/>
    <xf numFmtId="167" fontId="14" fillId="24" borderId="20" xfId="45" applyNumberFormat="1" applyFont="1" applyFill="1" applyBorder="1"/>
    <xf numFmtId="167" fontId="14" fillId="24" borderId="21" xfId="45" applyNumberFormat="1" applyFont="1" applyFill="1" applyBorder="1"/>
    <xf numFmtId="167" fontId="14" fillId="24" borderId="27" xfId="45" applyNumberFormat="1" applyFont="1" applyFill="1" applyBorder="1"/>
    <xf numFmtId="167" fontId="14" fillId="24" borderId="21" xfId="0" applyNumberFormat="1" applyFont="1" applyFill="1" applyBorder="1"/>
    <xf numFmtId="167" fontId="14" fillId="24" borderId="23" xfId="0" applyNumberFormat="1" applyFont="1" applyFill="1" applyBorder="1"/>
    <xf numFmtId="167" fontId="14" fillId="24" borderId="47" xfId="0" applyNumberFormat="1" applyFont="1" applyFill="1" applyBorder="1"/>
    <xf numFmtId="167" fontId="14" fillId="24" borderId="12" xfId="45" applyNumberFormat="1" applyFont="1" applyFill="1" applyBorder="1" applyAlignment="1">
      <alignment horizontal="center"/>
    </xf>
    <xf numFmtId="0" fontId="14" fillId="34" borderId="25" xfId="0" applyFont="1" applyFill="1" applyBorder="1" applyAlignment="1">
      <alignment horizontal="center"/>
    </xf>
    <xf numFmtId="0" fontId="14" fillId="34" borderId="21" xfId="0" applyFont="1" applyFill="1" applyBorder="1" applyAlignment="1">
      <alignment horizontal="center"/>
    </xf>
    <xf numFmtId="0" fontId="14" fillId="34" borderId="37" xfId="0" applyFont="1" applyFill="1" applyBorder="1" applyAlignment="1">
      <alignment horizontal="center"/>
    </xf>
    <xf numFmtId="0" fontId="14" fillId="34" borderId="38" xfId="0" applyFont="1" applyFill="1" applyBorder="1" applyAlignment="1">
      <alignment horizontal="center"/>
    </xf>
    <xf numFmtId="0" fontId="14" fillId="34" borderId="39" xfId="0" applyFont="1" applyFill="1" applyBorder="1" applyAlignment="1">
      <alignment horizontal="center"/>
    </xf>
    <xf numFmtId="0" fontId="14" fillId="34" borderId="40" xfId="0" applyFont="1" applyFill="1" applyBorder="1" applyAlignment="1">
      <alignment horizontal="center"/>
    </xf>
    <xf numFmtId="167" fontId="14" fillId="34" borderId="12" xfId="45" applyNumberFormat="1" applyFont="1" applyFill="1" applyBorder="1" applyAlignment="1">
      <alignment horizontal="center"/>
    </xf>
    <xf numFmtId="167" fontId="14" fillId="34" borderId="24" xfId="45" applyNumberFormat="1" applyFont="1" applyFill="1" applyBorder="1" applyAlignment="1">
      <alignment horizontal="center"/>
    </xf>
    <xf numFmtId="167" fontId="14" fillId="34" borderId="18" xfId="45" applyNumberFormat="1" applyFont="1" applyFill="1" applyBorder="1" applyAlignment="1">
      <alignment horizontal="center"/>
    </xf>
    <xf numFmtId="0" fontId="36" fillId="34" borderId="71" xfId="0" applyFont="1" applyFill="1" applyBorder="1" applyAlignment="1">
      <alignment horizontal="center"/>
    </xf>
    <xf numFmtId="0" fontId="36" fillId="34" borderId="73" xfId="0" applyFont="1" applyFill="1" applyBorder="1" applyAlignment="1">
      <alignment horizontal="center"/>
    </xf>
    <xf numFmtId="0" fontId="63" fillId="34" borderId="78" xfId="0" applyFont="1" applyFill="1" applyBorder="1" applyAlignment="1">
      <alignment horizontal="left"/>
    </xf>
    <xf numFmtId="0" fontId="63" fillId="34" borderId="4" xfId="0" applyFont="1" applyFill="1" applyBorder="1" applyAlignment="1">
      <alignment horizontal="center"/>
    </xf>
    <xf numFmtId="0" fontId="63" fillId="34" borderId="50" xfId="0" applyFont="1" applyFill="1" applyBorder="1" applyAlignment="1">
      <alignment horizontal="center"/>
    </xf>
    <xf numFmtId="0" fontId="63" fillId="34" borderId="80" xfId="0" applyFont="1" applyFill="1" applyBorder="1" applyAlignment="1">
      <alignment horizontal="center"/>
    </xf>
    <xf numFmtId="0" fontId="12" fillId="0" borderId="0" xfId="0" applyFont="1" applyAlignment="1">
      <alignment horizontal="left" indent="2"/>
    </xf>
    <xf numFmtId="0" fontId="62" fillId="0" borderId="0" xfId="0" applyFont="1"/>
    <xf numFmtId="0" fontId="61" fillId="0" borderId="0" xfId="0" applyFont="1"/>
    <xf numFmtId="0" fontId="62" fillId="0" borderId="0" xfId="0" applyFont="1" applyAlignment="1">
      <alignment vertical="center"/>
    </xf>
    <xf numFmtId="0" fontId="66" fillId="0" borderId="81" xfId="0" applyFont="1" applyBorder="1"/>
    <xf numFmtId="0" fontId="66" fillId="0" borderId="82" xfId="0" applyFont="1" applyBorder="1" applyAlignment="1">
      <alignment horizontal="center"/>
    </xf>
    <xf numFmtId="0" fontId="66" fillId="0" borderId="83" xfId="0" applyFont="1" applyBorder="1" applyAlignment="1">
      <alignment horizontal="center"/>
    </xf>
    <xf numFmtId="0" fontId="45" fillId="0" borderId="0" xfId="0" applyFont="1"/>
    <xf numFmtId="0" fontId="12" fillId="0" borderId="12" xfId="115" quotePrefix="1" applyFont="1" applyBorder="1" applyAlignment="1">
      <alignment horizontal="left"/>
    </xf>
    <xf numFmtId="0" fontId="14" fillId="0" borderId="12" xfId="0" applyFont="1" applyBorder="1" applyAlignment="1">
      <alignment horizontal="center"/>
    </xf>
    <xf numFmtId="0" fontId="14" fillId="36" borderId="12" xfId="0" applyFont="1" applyFill="1" applyBorder="1" applyAlignment="1">
      <alignment horizontal="center"/>
    </xf>
    <xf numFmtId="0" fontId="45" fillId="0" borderId="12" xfId="0" applyFont="1" applyBorder="1"/>
    <xf numFmtId="0" fontId="12" fillId="0" borderId="12" xfId="115" applyFont="1" applyBorder="1" applyAlignment="1">
      <alignment horizontal="left"/>
    </xf>
    <xf numFmtId="0" fontId="12" fillId="0" borderId="0" xfId="0" applyFont="1" applyAlignment="1">
      <alignment horizontal="center"/>
    </xf>
    <xf numFmtId="0" fontId="56" fillId="34" borderId="0" xfId="0" applyFont="1" applyFill="1"/>
    <xf numFmtId="0" fontId="0" fillId="34" borderId="0" xfId="0" applyFill="1"/>
    <xf numFmtId="0" fontId="0" fillId="37" borderId="26" xfId="0" applyFill="1" applyBorder="1" applyProtection="1">
      <protection locked="0"/>
    </xf>
    <xf numFmtId="0" fontId="14" fillId="0" borderId="0" xfId="0" applyFont="1" applyAlignment="1">
      <alignment horizontal="center"/>
    </xf>
    <xf numFmtId="44" fontId="12" fillId="0" borderId="0" xfId="0" applyNumberFormat="1" applyFont="1"/>
    <xf numFmtId="41" fontId="12" fillId="34" borderId="85" xfId="35" applyNumberFormat="1" applyFont="1" applyFill="1" applyBorder="1" applyAlignment="1" applyProtection="1">
      <alignment wrapText="1"/>
    </xf>
    <xf numFmtId="42" fontId="12" fillId="37" borderId="16" xfId="41" applyNumberFormat="1" applyFont="1" applyFill="1" applyBorder="1" applyAlignment="1" applyProtection="1"/>
    <xf numFmtId="44" fontId="45" fillId="37" borderId="16" xfId="41" applyFont="1" applyFill="1" applyBorder="1" applyAlignment="1" applyProtection="1"/>
    <xf numFmtId="44" fontId="45" fillId="37" borderId="14" xfId="41" applyFont="1" applyFill="1" applyBorder="1" applyAlignment="1" applyProtection="1"/>
    <xf numFmtId="44" fontId="45" fillId="37" borderId="17" xfId="41" applyFont="1" applyFill="1" applyBorder="1" applyAlignment="1" applyProtection="1"/>
    <xf numFmtId="3" fontId="14" fillId="34" borderId="70" xfId="78" applyNumberFormat="1" applyFont="1" applyFill="1" applyBorder="1" applyAlignment="1">
      <alignment horizontal="center" vertical="center" wrapText="1"/>
    </xf>
    <xf numFmtId="3" fontId="14" fillId="34" borderId="21" xfId="78" applyNumberFormat="1" applyFont="1" applyFill="1" applyBorder="1" applyAlignment="1">
      <alignment horizontal="center" vertical="center" wrapText="1"/>
    </xf>
    <xf numFmtId="3" fontId="14" fillId="34" borderId="40" xfId="78" applyNumberFormat="1" applyFont="1" applyFill="1" applyBorder="1" applyAlignment="1">
      <alignment horizontal="center" vertical="center" wrapText="1"/>
    </xf>
    <xf numFmtId="41" fontId="12" fillId="37" borderId="16" xfId="78" applyNumberFormat="1" applyFont="1" applyFill="1" applyBorder="1"/>
    <xf numFmtId="41" fontId="45" fillId="37" borderId="16" xfId="78" applyNumberFormat="1" applyFont="1" applyFill="1" applyBorder="1"/>
    <xf numFmtId="41" fontId="45" fillId="37" borderId="16" xfId="35" applyNumberFormat="1" applyFont="1" applyFill="1" applyBorder="1" applyAlignment="1" applyProtection="1"/>
    <xf numFmtId="0" fontId="45" fillId="0" borderId="0" xfId="0" applyFont="1" applyAlignment="1">
      <alignment vertical="center" wrapText="1"/>
    </xf>
    <xf numFmtId="0" fontId="45" fillId="0" borderId="0" xfId="0" applyFont="1" applyAlignment="1">
      <alignment wrapText="1"/>
    </xf>
    <xf numFmtId="0" fontId="68" fillId="0" borderId="90" xfId="0" applyFont="1" applyBorder="1"/>
    <xf numFmtId="0" fontId="67" fillId="0" borderId="52" xfId="0" applyFont="1" applyBorder="1"/>
    <xf numFmtId="0" fontId="45" fillId="0" borderId="21" xfId="0" applyFont="1" applyBorder="1" applyAlignment="1">
      <alignment horizontal="center"/>
    </xf>
    <xf numFmtId="0" fontId="45" fillId="0" borderId="21" xfId="118" applyFont="1" applyBorder="1" applyAlignment="1">
      <alignment horizontal="left"/>
    </xf>
    <xf numFmtId="0" fontId="45" fillId="0" borderId="12" xfId="0" applyFont="1" applyBorder="1" applyAlignment="1">
      <alignment horizontal="center"/>
    </xf>
    <xf numFmtId="0" fontId="45" fillId="0" borderId="12" xfId="118" applyFont="1" applyBorder="1" applyAlignment="1">
      <alignment horizontal="left"/>
    </xf>
    <xf numFmtId="0" fontId="45" fillId="0" borderId="0" xfId="0" applyFont="1" applyAlignment="1">
      <alignment horizontal="center"/>
    </xf>
    <xf numFmtId="0" fontId="45" fillId="34" borderId="25" xfId="0" applyFont="1" applyFill="1" applyBorder="1"/>
    <xf numFmtId="0" fontId="14" fillId="34" borderId="14" xfId="117" applyFont="1" applyFill="1" applyBorder="1" applyAlignment="1">
      <alignment horizontal="center" vertical="center"/>
    </xf>
    <xf numFmtId="0" fontId="67" fillId="34" borderId="16" xfId="0" applyFont="1" applyFill="1" applyBorder="1" applyAlignment="1">
      <alignment vertical="center"/>
    </xf>
    <xf numFmtId="0" fontId="14" fillId="34" borderId="27" xfId="117" applyFont="1" applyFill="1" applyBorder="1" applyAlignment="1">
      <alignment horizontal="center" vertical="center"/>
    </xf>
    <xf numFmtId="0" fontId="67" fillId="34" borderId="21" xfId="0" applyFont="1" applyFill="1" applyBorder="1"/>
    <xf numFmtId="0" fontId="45" fillId="0" borderId="12" xfId="0" applyFont="1" applyBorder="1" applyAlignment="1">
      <alignment wrapText="1"/>
    </xf>
    <xf numFmtId="0" fontId="67" fillId="34" borderId="16" xfId="0" applyFont="1" applyFill="1" applyBorder="1" applyAlignment="1">
      <alignment vertical="center" wrapText="1"/>
    </xf>
    <xf numFmtId="0" fontId="45" fillId="34" borderId="21" xfId="0" applyFont="1" applyFill="1" applyBorder="1" applyAlignment="1">
      <alignment wrapText="1"/>
    </xf>
    <xf numFmtId="0" fontId="63" fillId="37" borderId="41" xfId="0" applyFont="1" applyFill="1" applyBorder="1"/>
    <xf numFmtId="0" fontId="64" fillId="37" borderId="12" xfId="0" applyFont="1" applyFill="1" applyBorder="1" applyAlignment="1">
      <alignment horizontal="center"/>
    </xf>
    <xf numFmtId="0" fontId="64" fillId="37" borderId="42" xfId="0" applyFont="1" applyFill="1" applyBorder="1" applyAlignment="1">
      <alignment horizontal="center"/>
    </xf>
    <xf numFmtId="0" fontId="63" fillId="37" borderId="41" xfId="0" applyFont="1" applyFill="1" applyBorder="1" applyAlignment="1">
      <alignment horizontal="left" vertical="center"/>
    </xf>
    <xf numFmtId="0" fontId="63" fillId="37" borderId="43" xfId="0" applyFont="1" applyFill="1" applyBorder="1" applyAlignment="1">
      <alignment horizontal="left" vertical="center"/>
    </xf>
    <xf numFmtId="14" fontId="64" fillId="37" borderId="44" xfId="0" applyNumberFormat="1" applyFont="1" applyFill="1" applyBorder="1" applyAlignment="1">
      <alignment horizontal="center" vertical="center" wrapText="1"/>
    </xf>
    <xf numFmtId="14" fontId="64" fillId="37" borderId="45" xfId="0" applyNumberFormat="1" applyFont="1" applyFill="1" applyBorder="1" applyAlignment="1">
      <alignment horizontal="center" vertical="center" wrapText="1"/>
    </xf>
    <xf numFmtId="0" fontId="12" fillId="0" borderId="0" xfId="0" applyFont="1" applyAlignment="1">
      <alignment horizontal="left"/>
    </xf>
    <xf numFmtId="0" fontId="12" fillId="0" borderId="0" xfId="0" applyFont="1"/>
    <xf numFmtId="167" fontId="12" fillId="24" borderId="12" xfId="0" applyNumberFormat="1" applyFont="1" applyFill="1" applyBorder="1"/>
    <xf numFmtId="0" fontId="14" fillId="0" borderId="12" xfId="0" applyFont="1" applyBorder="1" applyAlignment="1">
      <alignment horizontal="center" vertical="center"/>
    </xf>
    <xf numFmtId="0" fontId="36" fillId="0" borderId="0" xfId="83" applyFont="1" applyAlignment="1">
      <alignment horizontal="right" vertical="center" wrapText="1"/>
    </xf>
    <xf numFmtId="0" fontId="12" fillId="0" borderId="12" xfId="0" applyFont="1" applyBorder="1"/>
    <xf numFmtId="0" fontId="12" fillId="33" borderId="12" xfId="0" applyFont="1" applyFill="1" applyBorder="1"/>
    <xf numFmtId="0" fontId="12" fillId="33" borderId="42" xfId="0" applyFont="1" applyFill="1" applyBorder="1" applyAlignment="1">
      <alignment horizontal="left" wrapText="1"/>
    </xf>
    <xf numFmtId="0" fontId="12" fillId="33" borderId="42" xfId="0" applyFont="1" applyFill="1" applyBorder="1" applyAlignment="1">
      <alignment wrapText="1"/>
    </xf>
    <xf numFmtId="0" fontId="12" fillId="0" borderId="21" xfId="0" applyFont="1" applyBorder="1"/>
    <xf numFmtId="0" fontId="45" fillId="0" borderId="0" xfId="122" applyFont="1"/>
    <xf numFmtId="0" fontId="45" fillId="34" borderId="25" xfId="122" applyFont="1" applyFill="1" applyBorder="1"/>
    <xf numFmtId="0" fontId="67" fillId="34" borderId="36" xfId="122" applyFont="1" applyFill="1" applyBorder="1" applyAlignment="1">
      <alignment horizontal="centerContinuous" vertical="center"/>
    </xf>
    <xf numFmtId="0" fontId="67" fillId="34" borderId="48" xfId="122" applyFont="1" applyFill="1" applyBorder="1" applyAlignment="1">
      <alignment horizontal="centerContinuous" vertical="center"/>
    </xf>
    <xf numFmtId="0" fontId="67" fillId="34" borderId="92" xfId="122" applyFont="1" applyFill="1" applyBorder="1" applyAlignment="1">
      <alignment horizontal="centerContinuous" vertical="center"/>
    </xf>
    <xf numFmtId="0" fontId="67" fillId="34" borderId="16" xfId="122" applyFont="1" applyFill="1" applyBorder="1" applyAlignment="1">
      <alignment vertical="center"/>
    </xf>
    <xf numFmtId="0" fontId="67" fillId="34" borderId="24" xfId="122" applyFont="1" applyFill="1" applyBorder="1" applyAlignment="1">
      <alignment horizontal="centerContinuous" vertical="center"/>
    </xf>
    <xf numFmtId="0" fontId="67" fillId="34" borderId="4" xfId="122" applyFont="1" applyFill="1" applyBorder="1" applyAlignment="1">
      <alignment horizontal="centerContinuous" vertical="center"/>
    </xf>
    <xf numFmtId="0" fontId="45" fillId="0" borderId="0" xfId="122" applyFont="1" applyAlignment="1">
      <alignment horizontal="center" vertical="center" wrapText="1"/>
    </xf>
    <xf numFmtId="0" fontId="67" fillId="34" borderId="21" xfId="122" applyFont="1" applyFill="1" applyBorder="1"/>
    <xf numFmtId="0" fontId="45" fillId="0" borderId="0" xfId="122" applyFont="1" applyAlignment="1">
      <alignment wrapText="1"/>
    </xf>
    <xf numFmtId="0" fontId="45" fillId="0" borderId="14" xfId="122" applyFont="1" applyBorder="1" applyAlignment="1">
      <alignment horizontal="center"/>
    </xf>
    <xf numFmtId="0" fontId="68" fillId="0" borderId="90" xfId="122" applyFont="1" applyBorder="1"/>
    <xf numFmtId="0" fontId="45" fillId="38" borderId="14" xfId="122" applyFont="1" applyFill="1" applyBorder="1"/>
    <xf numFmtId="0" fontId="45" fillId="38" borderId="25" xfId="122" applyFont="1" applyFill="1" applyBorder="1"/>
    <xf numFmtId="0" fontId="45" fillId="38" borderId="0" xfId="122" applyFont="1" applyFill="1"/>
    <xf numFmtId="0" fontId="45" fillId="0" borderId="27" xfId="122" applyFont="1" applyBorder="1" applyAlignment="1">
      <alignment horizontal="center"/>
    </xf>
    <xf numFmtId="0" fontId="67" fillId="0" borderId="52" xfId="122" applyFont="1" applyBorder="1"/>
    <xf numFmtId="0" fontId="45" fillId="38" borderId="27" xfId="122" applyFont="1" applyFill="1" applyBorder="1"/>
    <xf numFmtId="0" fontId="45" fillId="38" borderId="21" xfId="122" applyFont="1" applyFill="1" applyBorder="1"/>
    <xf numFmtId="0" fontId="45" fillId="38" borderId="33" xfId="122" applyFont="1" applyFill="1" applyBorder="1"/>
    <xf numFmtId="0" fontId="45" fillId="0" borderId="21" xfId="122" applyFont="1" applyBorder="1" applyAlignment="1">
      <alignment horizontal="center"/>
    </xf>
    <xf numFmtId="0" fontId="45" fillId="0" borderId="12" xfId="122" applyFont="1" applyBorder="1" applyAlignment="1">
      <alignment horizontal="center"/>
    </xf>
    <xf numFmtId="0" fontId="45" fillId="0" borderId="0" xfId="122" applyFont="1" applyAlignment="1">
      <alignment horizontal="center"/>
    </xf>
    <xf numFmtId="0" fontId="68" fillId="0" borderId="0" xfId="122" applyFont="1"/>
    <xf numFmtId="0" fontId="45" fillId="0" borderId="14" xfId="0" applyFont="1" applyBorder="1" applyAlignment="1">
      <alignment horizontal="center"/>
    </xf>
    <xf numFmtId="0" fontId="45" fillId="0" borderId="27" xfId="0" applyFont="1" applyBorder="1" applyAlignment="1">
      <alignment horizontal="center"/>
    </xf>
    <xf numFmtId="0" fontId="66" fillId="34" borderId="100" xfId="0" applyFont="1" applyFill="1" applyBorder="1" applyAlignment="1">
      <alignment horizontal="centerContinuous"/>
    </xf>
    <xf numFmtId="0" fontId="66" fillId="34" borderId="86" xfId="0" applyFont="1" applyFill="1" applyBorder="1" applyAlignment="1">
      <alignment horizontal="centerContinuous"/>
    </xf>
    <xf numFmtId="0" fontId="66" fillId="34" borderId="87" xfId="0" applyFont="1" applyFill="1" applyBorder="1" applyAlignment="1">
      <alignment horizontal="centerContinuous"/>
    </xf>
    <xf numFmtId="0" fontId="66" fillId="34" borderId="89" xfId="0" applyFont="1" applyFill="1" applyBorder="1" applyAlignment="1">
      <alignment horizontal="centerContinuous"/>
    </xf>
    <xf numFmtId="0" fontId="66" fillId="34" borderId="101" xfId="0" applyFont="1" applyFill="1" applyBorder="1" applyAlignment="1">
      <alignment horizontal="centerContinuous"/>
    </xf>
    <xf numFmtId="0" fontId="66" fillId="34" borderId="102" xfId="0" applyFont="1" applyFill="1" applyBorder="1" applyAlignment="1">
      <alignment horizontal="centerContinuous"/>
    </xf>
    <xf numFmtId="0" fontId="14" fillId="34" borderId="23" xfId="0" applyFont="1" applyFill="1" applyBorder="1" applyAlignment="1">
      <alignment horizontal="center"/>
    </xf>
    <xf numFmtId="0" fontId="14" fillId="34" borderId="24" xfId="0" applyFont="1" applyFill="1" applyBorder="1" applyAlignment="1">
      <alignment horizontal="center"/>
    </xf>
    <xf numFmtId="0" fontId="63" fillId="37" borderId="70" xfId="0" applyFont="1" applyFill="1" applyBorder="1" applyAlignment="1">
      <alignment horizontal="center" vertical="center"/>
    </xf>
    <xf numFmtId="41" fontId="14" fillId="37" borderId="24" xfId="34" applyNumberFormat="1" applyFont="1" applyFill="1" applyBorder="1" applyAlignment="1">
      <alignment horizontal="centerContinuous"/>
    </xf>
    <xf numFmtId="41" fontId="14" fillId="37" borderId="19" xfId="34" applyNumberFormat="1" applyFont="1" applyFill="1" applyBorder="1" applyAlignment="1">
      <alignment horizontal="centerContinuous"/>
    </xf>
    <xf numFmtId="41" fontId="14" fillId="37" borderId="67" xfId="34" applyNumberFormat="1" applyFont="1" applyFill="1" applyBorder="1" applyAlignment="1">
      <alignment horizontal="centerContinuous"/>
    </xf>
    <xf numFmtId="41" fontId="14" fillId="37" borderId="4" xfId="34" applyNumberFormat="1" applyFont="1" applyFill="1" applyBorder="1" applyAlignment="1">
      <alignment horizontal="centerContinuous"/>
    </xf>
    <xf numFmtId="167" fontId="12" fillId="0" borderId="0" xfId="0" applyNumberFormat="1" applyFont="1"/>
    <xf numFmtId="0" fontId="14" fillId="0" borderId="0" xfId="83" applyFont="1" applyAlignment="1">
      <alignment vertical="center"/>
    </xf>
    <xf numFmtId="0" fontId="14" fillId="0" borderId="0" xfId="83" applyFont="1" applyAlignment="1" applyProtection="1">
      <alignment vertical="center"/>
      <protection locked="0"/>
    </xf>
    <xf numFmtId="0" fontId="14" fillId="0" borderId="0" xfId="83" applyFont="1" applyAlignment="1">
      <alignment horizontal="left" vertical="center"/>
    </xf>
    <xf numFmtId="44" fontId="12" fillId="24" borderId="12" xfId="40" applyFont="1" applyFill="1" applyBorder="1"/>
    <xf numFmtId="173" fontId="12" fillId="0" borderId="25" xfId="0" applyNumberFormat="1" applyFont="1" applyBorder="1" applyAlignment="1">
      <alignment horizontal="fill"/>
    </xf>
    <xf numFmtId="173" fontId="12" fillId="0" borderId="0" xfId="0" applyNumberFormat="1" applyFont="1"/>
    <xf numFmtId="0" fontId="12" fillId="0" borderId="0" xfId="140"/>
    <xf numFmtId="167" fontId="12" fillId="24" borderId="12" xfId="40" applyNumberFormat="1" applyFont="1" applyFill="1" applyBorder="1"/>
    <xf numFmtId="167" fontId="12" fillId="0" borderId="12" xfId="0" applyNumberFormat="1" applyFont="1" applyBorder="1" applyAlignment="1">
      <alignment horizontal="fill"/>
    </xf>
    <xf numFmtId="0" fontId="12" fillId="0" borderId="0" xfId="0" applyFont="1" applyAlignment="1">
      <alignment horizontal="left" indent="1"/>
    </xf>
    <xf numFmtId="0" fontId="12" fillId="0" borderId="37" xfId="0" applyFont="1" applyBorder="1"/>
    <xf numFmtId="0" fontId="12" fillId="0" borderId="25" xfId="0" applyFont="1" applyBorder="1"/>
    <xf numFmtId="0" fontId="12" fillId="0" borderId="38" xfId="0" applyFont="1" applyBorder="1"/>
    <xf numFmtId="0" fontId="12" fillId="0" borderId="15" xfId="0" applyFont="1" applyBorder="1"/>
    <xf numFmtId="0" fontId="12" fillId="0" borderId="16" xfId="0" applyFont="1" applyBorder="1"/>
    <xf numFmtId="0" fontId="12" fillId="0" borderId="17" xfId="0" applyFont="1" applyBorder="1"/>
    <xf numFmtId="0" fontId="33" fillId="0" borderId="0" xfId="0" applyFont="1" applyAlignment="1">
      <alignment horizontal="left"/>
    </xf>
    <xf numFmtId="167" fontId="12" fillId="0" borderId="0" xfId="45" applyNumberFormat="1" applyFont="1"/>
    <xf numFmtId="167" fontId="12" fillId="0" borderId="0" xfId="45" applyNumberFormat="1" applyFont="1" applyFill="1" applyBorder="1" applyAlignment="1">
      <alignment horizontal="center"/>
    </xf>
    <xf numFmtId="44" fontId="12" fillId="0" borderId="0" xfId="45" applyNumberFormat="1" applyFont="1"/>
    <xf numFmtId="0" fontId="12" fillId="0" borderId="14" xfId="0" applyFont="1" applyBorder="1"/>
    <xf numFmtId="167" fontId="12" fillId="0" borderId="0" xfId="45" applyNumberFormat="1" applyFont="1" applyFill="1" applyBorder="1"/>
    <xf numFmtId="166" fontId="12" fillId="0" borderId="0" xfId="37" applyNumberFormat="1" applyFont="1" applyBorder="1"/>
    <xf numFmtId="167" fontId="12" fillId="24" borderId="21" xfId="45" applyNumberFormat="1" applyFont="1" applyFill="1" applyBorder="1"/>
    <xf numFmtId="167" fontId="12" fillId="37" borderId="18" xfId="45" applyNumberFormat="1" applyFont="1" applyFill="1" applyBorder="1"/>
    <xf numFmtId="0" fontId="12" fillId="0" borderId="0" xfId="82" applyFont="1"/>
    <xf numFmtId="167" fontId="12" fillId="0" borderId="0" xfId="45" applyNumberFormat="1" applyFont="1" applyBorder="1"/>
    <xf numFmtId="9" fontId="12" fillId="24" borderId="20" xfId="90" applyFont="1" applyFill="1" applyBorder="1" applyAlignment="1">
      <alignment horizontal="center"/>
    </xf>
    <xf numFmtId="9" fontId="12" fillId="24" borderId="46" xfId="90" applyFont="1" applyFill="1" applyBorder="1" applyAlignment="1">
      <alignment horizontal="center"/>
    </xf>
    <xf numFmtId="9" fontId="12" fillId="0" borderId="22" xfId="90" applyFont="1" applyFill="1" applyBorder="1" applyAlignment="1">
      <alignment horizontal="center"/>
    </xf>
    <xf numFmtId="9" fontId="12" fillId="0" borderId="20" xfId="90" applyFont="1" applyFill="1" applyBorder="1" applyAlignment="1">
      <alignment horizontal="center"/>
    </xf>
    <xf numFmtId="9" fontId="12" fillId="0" borderId="13" xfId="90" applyFont="1" applyFill="1" applyBorder="1" applyAlignment="1">
      <alignment horizontal="center"/>
    </xf>
    <xf numFmtId="0" fontId="14" fillId="36" borderId="24" xfId="0" applyFont="1" applyFill="1" applyBorder="1" applyAlignment="1">
      <alignment horizontal="centerContinuous"/>
    </xf>
    <xf numFmtId="0" fontId="14" fillId="36" borderId="19" xfId="0" applyFont="1" applyFill="1" applyBorder="1" applyAlignment="1">
      <alignment horizontal="centerContinuous"/>
    </xf>
    <xf numFmtId="0" fontId="14" fillId="0" borderId="24" xfId="0" applyFont="1" applyBorder="1" applyAlignment="1">
      <alignment horizontal="centerContinuous" vertical="center"/>
    </xf>
    <xf numFmtId="0" fontId="14" fillId="0" borderId="19" xfId="0" applyFont="1" applyBorder="1" applyAlignment="1">
      <alignment horizontal="centerContinuous" vertical="center"/>
    </xf>
    <xf numFmtId="0" fontId="14" fillId="0" borderId="12" xfId="0" applyFont="1" applyBorder="1" applyAlignment="1">
      <alignment horizontal="centerContinuous" vertical="center"/>
    </xf>
    <xf numFmtId="167" fontId="14" fillId="40" borderId="12" xfId="0" applyNumberFormat="1" applyFont="1" applyFill="1" applyBorder="1"/>
    <xf numFmtId="167" fontId="12" fillId="24" borderId="41" xfId="0" applyNumberFormat="1" applyFont="1" applyFill="1" applyBorder="1"/>
    <xf numFmtId="167" fontId="14" fillId="40" borderId="41" xfId="0" applyNumberFormat="1" applyFont="1" applyFill="1" applyBorder="1"/>
    <xf numFmtId="167" fontId="14" fillId="40" borderId="24" xfId="0" applyNumberFormat="1" applyFont="1" applyFill="1" applyBorder="1"/>
    <xf numFmtId="167" fontId="14" fillId="40" borderId="67" xfId="0" applyNumberFormat="1" applyFont="1" applyFill="1" applyBorder="1"/>
    <xf numFmtId="167" fontId="14" fillId="40" borderId="42" xfId="0" applyNumberFormat="1" applyFont="1" applyFill="1" applyBorder="1"/>
    <xf numFmtId="0" fontId="63" fillId="37" borderId="21" xfId="0" applyFont="1" applyFill="1" applyBorder="1" applyAlignment="1">
      <alignment horizontal="center" vertical="center"/>
    </xf>
    <xf numFmtId="0" fontId="63" fillId="37" borderId="16" xfId="0" applyFont="1" applyFill="1" applyBorder="1" applyAlignment="1">
      <alignment horizontal="center" vertical="center"/>
    </xf>
    <xf numFmtId="0" fontId="63" fillId="37" borderId="98" xfId="0" applyFont="1" applyFill="1" applyBorder="1" applyAlignment="1">
      <alignment horizontal="center" vertical="center"/>
    </xf>
    <xf numFmtId="0" fontId="63" fillId="37" borderId="85" xfId="0" applyFont="1" applyFill="1" applyBorder="1" applyAlignment="1">
      <alignment horizontal="center" vertical="center"/>
    </xf>
    <xf numFmtId="167" fontId="45" fillId="24" borderId="21" xfId="40" applyNumberFormat="1" applyFont="1" applyFill="1" applyBorder="1" applyAlignment="1" applyProtection="1"/>
    <xf numFmtId="167" fontId="45" fillId="0" borderId="0" xfId="122" applyNumberFormat="1" applyFont="1"/>
    <xf numFmtId="167" fontId="45" fillId="37" borderId="12" xfId="122" applyNumberFormat="1" applyFont="1" applyFill="1" applyBorder="1"/>
    <xf numFmtId="43" fontId="12" fillId="24" borderId="41" xfId="34" applyFont="1" applyFill="1" applyBorder="1"/>
    <xf numFmtId="0" fontId="71" fillId="0" borderId="0" xfId="0" applyFont="1"/>
    <xf numFmtId="0" fontId="14" fillId="34" borderId="36" xfId="117" applyFont="1" applyFill="1" applyBorder="1" applyAlignment="1">
      <alignment horizontal="center" vertical="center"/>
    </xf>
    <xf numFmtId="0" fontId="14" fillId="34" borderId="96" xfId="0" applyFont="1" applyFill="1" applyBorder="1" applyAlignment="1">
      <alignment horizontal="center"/>
    </xf>
    <xf numFmtId="0" fontId="14" fillId="34" borderId="85" xfId="0" applyFont="1" applyFill="1" applyBorder="1" applyAlignment="1">
      <alignment horizontal="center"/>
    </xf>
    <xf numFmtId="0" fontId="14" fillId="34" borderId="87" xfId="0" applyFont="1" applyFill="1" applyBorder="1" applyAlignment="1">
      <alignment horizontal="center"/>
    </xf>
    <xf numFmtId="0" fontId="12" fillId="0" borderId="0" xfId="115" quotePrefix="1" applyFont="1" applyAlignment="1">
      <alignment horizontal="left" wrapText="1"/>
    </xf>
    <xf numFmtId="0" fontId="14" fillId="0" borderId="0" xfId="83" applyFont="1" applyAlignment="1">
      <alignment horizontal="left" vertical="center" wrapText="1"/>
    </xf>
    <xf numFmtId="167" fontId="12" fillId="39" borderId="12" xfId="40" applyNumberFormat="1" applyFont="1" applyFill="1" applyBorder="1" applyAlignment="1" applyProtection="1">
      <protection locked="0"/>
    </xf>
    <xf numFmtId="167" fontId="12" fillId="37" borderId="12" xfId="40" applyNumberFormat="1" applyFont="1" applyFill="1" applyBorder="1" applyAlignment="1"/>
    <xf numFmtId="167" fontId="12" fillId="42" borderId="12" xfId="40" applyNumberFormat="1" applyFont="1" applyFill="1" applyBorder="1" applyAlignment="1" applyProtection="1">
      <protection locked="0"/>
    </xf>
    <xf numFmtId="0" fontId="12" fillId="0" borderId="0" xfId="122" applyAlignment="1">
      <alignment vertical="center"/>
    </xf>
    <xf numFmtId="0" fontId="67" fillId="0" borderId="0" xfId="122" applyFont="1" applyAlignment="1">
      <alignment horizontal="left"/>
    </xf>
    <xf numFmtId="0" fontId="67" fillId="0" borderId="0" xfId="122" applyFont="1"/>
    <xf numFmtId="0" fontId="71" fillId="0" borderId="0" xfId="122" applyFont="1"/>
    <xf numFmtId="0" fontId="71" fillId="0" borderId="0" xfId="122" applyFont="1" applyAlignment="1">
      <alignment horizontal="left"/>
    </xf>
    <xf numFmtId="0" fontId="72" fillId="0" borderId="0" xfId="122" applyFont="1"/>
    <xf numFmtId="0" fontId="12" fillId="0" borderId="28" xfId="0" applyFont="1" applyBorder="1" applyAlignment="1">
      <alignment vertical="center"/>
    </xf>
    <xf numFmtId="0" fontId="12" fillId="0" borderId="33" xfId="0" applyFont="1" applyBorder="1"/>
    <xf numFmtId="0" fontId="12" fillId="0" borderId="34" xfId="0" applyFont="1" applyBorder="1"/>
    <xf numFmtId="0" fontId="14" fillId="0" borderId="29" xfId="0" applyFont="1" applyBorder="1" applyAlignment="1">
      <alignment vertical="center"/>
    </xf>
    <xf numFmtId="0" fontId="14" fillId="0" borderId="0" xfId="0" applyFont="1" applyAlignment="1">
      <alignment vertical="center"/>
    </xf>
    <xf numFmtId="0" fontId="14" fillId="0" borderId="30" xfId="0" applyFont="1" applyBorder="1" applyAlignment="1">
      <alignment horizontal="right" vertical="center"/>
    </xf>
    <xf numFmtId="0" fontId="12" fillId="24" borderId="35" xfId="0" applyFont="1" applyFill="1" applyBorder="1" applyAlignment="1">
      <alignment horizontal="center" vertical="center"/>
    </xf>
    <xf numFmtId="0" fontId="12" fillId="0" borderId="0" xfId="0" applyFont="1" applyAlignment="1">
      <alignment wrapText="1"/>
    </xf>
    <xf numFmtId="0" fontId="12" fillId="0" borderId="32" xfId="0" applyFont="1" applyBorder="1" applyAlignment="1">
      <alignment horizontal="justify"/>
    </xf>
    <xf numFmtId="0" fontId="36" fillId="0" borderId="28" xfId="0" applyFont="1" applyBorder="1" applyAlignment="1">
      <alignment horizontal="left" vertical="center"/>
    </xf>
    <xf numFmtId="0" fontId="10" fillId="0" borderId="12" xfId="0" applyFont="1" applyBorder="1"/>
    <xf numFmtId="164" fontId="12" fillId="0" borderId="12" xfId="115" quotePrefix="1" applyNumberFormat="1" applyFont="1" applyBorder="1" applyAlignment="1">
      <alignment horizontal="center"/>
    </xf>
    <xf numFmtId="164" fontId="12" fillId="0" borderId="12" xfId="116" quotePrefix="1" applyNumberFormat="1" applyFont="1" applyBorder="1" applyAlignment="1">
      <alignment horizontal="center"/>
    </xf>
    <xf numFmtId="0" fontId="10" fillId="33" borderId="12" xfId="0" applyFont="1" applyFill="1" applyBorder="1"/>
    <xf numFmtId="0" fontId="10" fillId="0" borderId="42" xfId="0" applyFont="1" applyBorder="1" applyAlignment="1">
      <alignment vertical="center" wrapText="1"/>
    </xf>
    <xf numFmtId="0" fontId="10" fillId="0" borderId="42" xfId="0" applyFont="1" applyBorder="1" applyAlignment="1">
      <alignment wrapText="1"/>
    </xf>
    <xf numFmtId="0" fontId="10" fillId="0" borderId="44" xfId="0" applyFont="1" applyBorder="1"/>
    <xf numFmtId="0" fontId="10" fillId="0" borderId="45" xfId="0" applyFont="1" applyBorder="1" applyAlignment="1">
      <alignment wrapText="1"/>
    </xf>
    <xf numFmtId="164" fontId="12" fillId="34" borderId="49" xfId="0" applyNumberFormat="1" applyFont="1" applyFill="1" applyBorder="1" applyAlignment="1">
      <alignment horizontal="center"/>
    </xf>
    <xf numFmtId="0" fontId="10" fillId="34" borderId="51" xfId="0" applyFont="1" applyFill="1" applyBorder="1" applyAlignment="1">
      <alignment wrapText="1"/>
    </xf>
    <xf numFmtId="0" fontId="10" fillId="33" borderId="42" xfId="0" applyFont="1" applyFill="1" applyBorder="1" applyAlignment="1">
      <alignment vertical="center" wrapText="1"/>
    </xf>
    <xf numFmtId="0" fontId="10" fillId="33" borderId="42" xfId="0" applyFont="1" applyFill="1" applyBorder="1" applyAlignment="1">
      <alignment wrapText="1"/>
    </xf>
    <xf numFmtId="164" fontId="12" fillId="34" borderId="67" xfId="0" applyNumberFormat="1" applyFont="1" applyFill="1" applyBorder="1" applyAlignment="1">
      <alignment horizontal="center"/>
    </xf>
    <xf numFmtId="0" fontId="10" fillId="34" borderId="68" xfId="0" applyFont="1" applyFill="1" applyBorder="1" applyAlignment="1">
      <alignment wrapText="1"/>
    </xf>
    <xf numFmtId="0" fontId="10" fillId="33" borderId="44" xfId="0" applyFont="1" applyFill="1" applyBorder="1"/>
    <xf numFmtId="0" fontId="80" fillId="35" borderId="76" xfId="0" applyFont="1" applyFill="1" applyBorder="1" applyAlignment="1">
      <alignment horizontal="left" wrapText="1"/>
    </xf>
    <xf numFmtId="0" fontId="80" fillId="35" borderId="69" xfId="0" applyFont="1" applyFill="1" applyBorder="1" applyAlignment="1">
      <alignment wrapText="1"/>
    </xf>
    <xf numFmtId="0" fontId="80" fillId="35" borderId="75" xfId="0" applyFont="1" applyFill="1" applyBorder="1" applyAlignment="1">
      <alignment horizontal="center" wrapText="1"/>
    </xf>
    <xf numFmtId="0" fontId="10" fillId="0" borderId="0" xfId="0" applyFont="1" applyAlignment="1">
      <alignment horizontal="center"/>
    </xf>
    <xf numFmtId="0" fontId="74" fillId="34" borderId="77" xfId="0" applyFont="1" applyFill="1" applyBorder="1" applyAlignment="1">
      <alignment vertical="center"/>
    </xf>
    <xf numFmtId="0" fontId="63" fillId="34" borderId="75" xfId="0" applyFont="1" applyFill="1" applyBorder="1" applyAlignment="1">
      <alignment wrapText="1"/>
    </xf>
    <xf numFmtId="0" fontId="10" fillId="0" borderId="0" xfId="0" applyFont="1"/>
    <xf numFmtId="0" fontId="74" fillId="34" borderId="79" xfId="0" applyFont="1" applyFill="1" applyBorder="1" applyAlignment="1">
      <alignment vertical="center" wrapText="1"/>
    </xf>
    <xf numFmtId="0" fontId="10" fillId="34" borderId="42" xfId="0" applyFont="1" applyFill="1" applyBorder="1" applyAlignment="1">
      <alignment wrapText="1"/>
    </xf>
    <xf numFmtId="0" fontId="10" fillId="0" borderId="0" xfId="0" applyFont="1" applyAlignment="1">
      <alignment wrapText="1"/>
    </xf>
    <xf numFmtId="0" fontId="63" fillId="0" borderId="0" xfId="0" applyFont="1" applyAlignment="1">
      <alignment horizontal="left"/>
    </xf>
    <xf numFmtId="164" fontId="12" fillId="0" borderId="39" xfId="0" applyNumberFormat="1" applyFont="1" applyBorder="1" applyAlignment="1">
      <alignment horizontal="center"/>
    </xf>
    <xf numFmtId="0" fontId="12" fillId="0" borderId="42" xfId="0" applyFont="1" applyBorder="1" applyAlignment="1">
      <alignment wrapText="1"/>
    </xf>
    <xf numFmtId="164" fontId="12" fillId="33" borderId="39" xfId="0" applyNumberFormat="1" applyFont="1" applyFill="1" applyBorder="1" applyAlignment="1">
      <alignment horizontal="center"/>
    </xf>
    <xf numFmtId="164" fontId="12" fillId="33" borderId="41" xfId="0" applyNumberFormat="1" applyFont="1" applyFill="1" applyBorder="1" applyAlignment="1">
      <alignment horizontal="center"/>
    </xf>
    <xf numFmtId="164" fontId="12" fillId="33" borderId="41" xfId="0" quotePrefix="1" applyNumberFormat="1" applyFont="1" applyFill="1" applyBorder="1" applyAlignment="1">
      <alignment horizontal="center"/>
    </xf>
    <xf numFmtId="164" fontId="12" fillId="0" borderId="41" xfId="0" applyNumberFormat="1" applyFont="1" applyBorder="1" applyAlignment="1">
      <alignment horizontal="center"/>
    </xf>
    <xf numFmtId="164" fontId="12" fillId="0" borderId="43" xfId="0" applyNumberFormat="1" applyFont="1" applyBorder="1" applyAlignment="1">
      <alignment horizontal="center"/>
    </xf>
    <xf numFmtId="164" fontId="12" fillId="33" borderId="37" xfId="0" applyNumberFormat="1" applyFont="1" applyFill="1" applyBorder="1" applyAlignment="1">
      <alignment horizontal="center"/>
    </xf>
    <xf numFmtId="0" fontId="10" fillId="34" borderId="107" xfId="0" applyFont="1" applyFill="1" applyBorder="1" applyAlignment="1">
      <alignment wrapText="1"/>
    </xf>
    <xf numFmtId="0" fontId="12" fillId="0" borderId="42" xfId="0" applyFont="1" applyBorder="1" applyAlignment="1">
      <alignment horizontal="left" wrapText="1"/>
    </xf>
    <xf numFmtId="0" fontId="12" fillId="33" borderId="45" xfId="0" applyFont="1" applyFill="1" applyBorder="1" applyAlignment="1">
      <alignment horizontal="left" wrapText="1"/>
    </xf>
    <xf numFmtId="43" fontId="12" fillId="24" borderId="12" xfId="34" applyFont="1" applyFill="1" applyBorder="1"/>
    <xf numFmtId="43" fontId="12" fillId="24" borderId="42" xfId="34" applyFont="1" applyFill="1" applyBorder="1"/>
    <xf numFmtId="44" fontId="12" fillId="24" borderId="41" xfId="40" applyFont="1" applyFill="1" applyBorder="1"/>
    <xf numFmtId="41" fontId="12" fillId="34" borderId="108" xfId="35" applyNumberFormat="1" applyFont="1" applyFill="1" applyBorder="1" applyAlignment="1" applyProtection="1">
      <alignment wrapText="1"/>
    </xf>
    <xf numFmtId="0" fontId="14" fillId="34" borderId="49" xfId="78" applyFont="1" applyFill="1" applyBorder="1" applyAlignment="1">
      <alignment wrapText="1"/>
    </xf>
    <xf numFmtId="0" fontId="68" fillId="38" borderId="105" xfId="78" applyFont="1" applyFill="1" applyBorder="1"/>
    <xf numFmtId="49" fontId="45" fillId="38" borderId="105" xfId="78" applyNumberFormat="1" applyFont="1" applyFill="1" applyBorder="1"/>
    <xf numFmtId="49" fontId="45" fillId="38" borderId="89" xfId="78" applyNumberFormat="1" applyFont="1" applyFill="1" applyBorder="1"/>
    <xf numFmtId="41" fontId="12" fillId="37" borderId="98" xfId="78" applyNumberFormat="1" applyFont="1" applyFill="1" applyBorder="1"/>
    <xf numFmtId="42" fontId="12" fillId="37" borderId="98" xfId="41" applyNumberFormat="1" applyFont="1" applyFill="1" applyBorder="1" applyAlignment="1" applyProtection="1"/>
    <xf numFmtId="41" fontId="45" fillId="37" borderId="98" xfId="78" applyNumberFormat="1" applyFont="1" applyFill="1" applyBorder="1"/>
    <xf numFmtId="41" fontId="45" fillId="37" borderId="98" xfId="35" applyNumberFormat="1" applyFont="1" applyFill="1" applyBorder="1" applyAlignment="1" applyProtection="1"/>
    <xf numFmtId="44" fontId="45" fillId="37" borderId="98" xfId="41" applyFont="1" applyFill="1" applyBorder="1" applyAlignment="1" applyProtection="1"/>
    <xf numFmtId="44" fontId="45" fillId="37" borderId="110" xfId="41" applyFont="1" applyFill="1" applyBorder="1" applyAlignment="1" applyProtection="1"/>
    <xf numFmtId="44" fontId="45" fillId="37" borderId="99" xfId="41" applyFont="1" applyFill="1" applyBorder="1" applyAlignment="1" applyProtection="1"/>
    <xf numFmtId="41" fontId="45" fillId="43" borderId="16" xfId="78" applyNumberFormat="1" applyFont="1" applyFill="1" applyBorder="1"/>
    <xf numFmtId="41" fontId="45" fillId="43" borderId="98" xfId="78" applyNumberFormat="1" applyFont="1" applyFill="1" applyBorder="1"/>
    <xf numFmtId="3" fontId="12" fillId="43" borderId="16" xfId="78" applyNumberFormat="1" applyFont="1" applyFill="1" applyBorder="1"/>
    <xf numFmtId="3" fontId="12" fillId="43" borderId="98" xfId="78" applyNumberFormat="1" applyFont="1" applyFill="1" applyBorder="1"/>
    <xf numFmtId="3" fontId="68" fillId="0" borderId="16" xfId="78" applyNumberFormat="1" applyFont="1" applyBorder="1"/>
    <xf numFmtId="42" fontId="68" fillId="0" borderId="16" xfId="78" applyNumberFormat="1" applyFont="1" applyBorder="1"/>
    <xf numFmtId="4" fontId="68" fillId="0" borderId="16" xfId="78" applyNumberFormat="1" applyFont="1" applyBorder="1"/>
    <xf numFmtId="44" fontId="68" fillId="0" borderId="14" xfId="41" applyFont="1" applyFill="1" applyBorder="1" applyAlignment="1" applyProtection="1"/>
    <xf numFmtId="44" fontId="68" fillId="0" borderId="25" xfId="41" applyFont="1" applyFill="1" applyBorder="1" applyAlignment="1" applyProtection="1"/>
    <xf numFmtId="44" fontId="68" fillId="0" borderId="36" xfId="41" applyFont="1" applyFill="1" applyBorder="1" applyAlignment="1" applyProtection="1"/>
    <xf numFmtId="44" fontId="68" fillId="0" borderId="38" xfId="41" applyFont="1" applyFill="1" applyBorder="1" applyAlignment="1" applyProtection="1"/>
    <xf numFmtId="0" fontId="14" fillId="0" borderId="0" xfId="83" applyFont="1" applyAlignment="1">
      <alignment horizontal="center" vertical="center"/>
    </xf>
    <xf numFmtId="0" fontId="14" fillId="34" borderId="12" xfId="0" applyFont="1" applyFill="1" applyBorder="1" applyAlignment="1">
      <alignment horizontal="center"/>
    </xf>
    <xf numFmtId="0" fontId="14" fillId="0" borderId="0" xfId="140" applyFont="1" applyAlignment="1">
      <alignment horizontal="left"/>
    </xf>
    <xf numFmtId="0" fontId="12" fillId="0" borderId="0" xfId="140" applyAlignment="1">
      <alignment horizontal="left" indent="1"/>
    </xf>
    <xf numFmtId="164" fontId="12" fillId="0" borderId="12" xfId="0" applyNumberFormat="1" applyFont="1" applyBorder="1" applyAlignment="1">
      <alignment horizontal="center"/>
    </xf>
    <xf numFmtId="0" fontId="37" fillId="0" borderId="0" xfId="140" applyFont="1" applyAlignment="1">
      <alignment horizontal="left" indent="1"/>
    </xf>
    <xf numFmtId="0" fontId="12" fillId="0" borderId="0" xfId="140" applyAlignment="1">
      <alignment horizontal="left"/>
    </xf>
    <xf numFmtId="173" fontId="12" fillId="0" borderId="12" xfId="0" applyNumberFormat="1" applyFont="1" applyBorder="1" applyAlignment="1">
      <alignment horizontal="fill"/>
    </xf>
    <xf numFmtId="0" fontId="14" fillId="0" borderId="0" xfId="140" applyFont="1"/>
    <xf numFmtId="174" fontId="12" fillId="0" borderId="12" xfId="0" applyNumberFormat="1" applyFont="1" applyBorder="1" applyAlignment="1">
      <alignment horizontal="fill"/>
    </xf>
    <xf numFmtId="0" fontId="12" fillId="0" borderId="12" xfId="0" applyFont="1" applyBorder="1" applyAlignment="1">
      <alignment horizontal="fill"/>
    </xf>
    <xf numFmtId="171" fontId="12" fillId="0" borderId="0" xfId="0" applyNumberFormat="1" applyFont="1"/>
    <xf numFmtId="174" fontId="12" fillId="0" borderId="0" xfId="0" applyNumberFormat="1" applyFont="1"/>
    <xf numFmtId="174" fontId="12" fillId="0" borderId="0" xfId="0" applyNumberFormat="1" applyFont="1" applyAlignment="1">
      <alignment horizontal="fill"/>
    </xf>
    <xf numFmtId="0" fontId="12" fillId="0" borderId="0" xfId="0" applyFont="1" applyAlignment="1">
      <alignment horizontal="fill"/>
    </xf>
    <xf numFmtId="14" fontId="12" fillId="0" borderId="0" xfId="0" applyNumberFormat="1" applyFont="1"/>
    <xf numFmtId="41" fontId="14" fillId="37" borderId="24" xfId="34" applyNumberFormat="1" applyFont="1" applyFill="1" applyBorder="1" applyAlignment="1" applyProtection="1">
      <alignment horizontal="centerContinuous"/>
    </xf>
    <xf numFmtId="41" fontId="14" fillId="37" borderId="19" xfId="34" applyNumberFormat="1" applyFont="1" applyFill="1" applyBorder="1" applyAlignment="1" applyProtection="1">
      <alignment horizontal="centerContinuous"/>
    </xf>
    <xf numFmtId="41" fontId="14" fillId="37" borderId="67" xfId="34" applyNumberFormat="1" applyFont="1" applyFill="1" applyBorder="1" applyAlignment="1" applyProtection="1">
      <alignment horizontal="centerContinuous"/>
    </xf>
    <xf numFmtId="41" fontId="14" fillId="37" borderId="4" xfId="34" applyNumberFormat="1" applyFont="1" applyFill="1" applyBorder="1" applyAlignment="1" applyProtection="1">
      <alignment horizontal="centerContinuous"/>
    </xf>
    <xf numFmtId="0" fontId="12" fillId="0" borderId="0" xfId="0" applyFont="1" applyAlignment="1" applyProtection="1">
      <alignment horizontal="left"/>
      <protection locked="0"/>
    </xf>
    <xf numFmtId="0" fontId="12" fillId="0" borderId="0" xfId="0" applyFont="1" applyProtection="1">
      <protection locked="0"/>
    </xf>
    <xf numFmtId="0" fontId="14" fillId="0" borderId="0" xfId="0" applyFont="1" applyProtection="1">
      <protection locked="0"/>
    </xf>
    <xf numFmtId="167" fontId="12" fillId="0" borderId="0" xfId="0" applyNumberFormat="1" applyFont="1" applyProtection="1">
      <protection locked="0"/>
    </xf>
    <xf numFmtId="167" fontId="12" fillId="39" borderId="12" xfId="40" applyNumberFormat="1" applyFont="1" applyFill="1" applyBorder="1" applyProtection="1">
      <protection locked="0"/>
    </xf>
    <xf numFmtId="0" fontId="14" fillId="0" borderId="0" xfId="83" applyFont="1" applyAlignment="1" applyProtection="1">
      <alignment horizontal="center" vertical="center"/>
      <protection locked="0"/>
    </xf>
    <xf numFmtId="0" fontId="12" fillId="0" borderId="0" xfId="140" applyProtection="1">
      <protection locked="0"/>
    </xf>
    <xf numFmtId="0" fontId="12" fillId="0" borderId="0" xfId="140" applyAlignment="1" applyProtection="1">
      <alignment horizontal="left"/>
      <protection locked="0"/>
    </xf>
    <xf numFmtId="171" fontId="12" fillId="0" borderId="0" xfId="140" applyNumberFormat="1" applyProtection="1">
      <protection locked="0"/>
    </xf>
    <xf numFmtId="167" fontId="12" fillId="0" borderId="0" xfId="140" applyNumberFormat="1" applyProtection="1">
      <protection locked="0"/>
    </xf>
    <xf numFmtId="166" fontId="12" fillId="0" borderId="0" xfId="34" applyNumberFormat="1" applyFont="1" applyProtection="1">
      <protection locked="0"/>
    </xf>
    <xf numFmtId="43" fontId="12" fillId="0" borderId="0" xfId="140" applyNumberFormat="1" applyProtection="1">
      <protection locked="0"/>
    </xf>
    <xf numFmtId="0" fontId="12" fillId="0" borderId="0" xfId="0" applyFont="1" applyAlignment="1" applyProtection="1">
      <alignment vertical="center"/>
      <protection locked="0"/>
    </xf>
    <xf numFmtId="0" fontId="12" fillId="0" borderId="0" xfId="122" applyProtection="1">
      <protection locked="0"/>
    </xf>
    <xf numFmtId="0" fontId="45" fillId="0" borderId="0" xfId="122" applyFont="1" applyProtection="1">
      <protection locked="0"/>
    </xf>
    <xf numFmtId="0" fontId="67" fillId="0" borderId="0" xfId="122" applyFont="1" applyProtection="1">
      <protection locked="0"/>
    </xf>
    <xf numFmtId="0" fontId="67" fillId="0" borderId="0" xfId="122" applyFont="1" applyAlignment="1" applyProtection="1">
      <alignment horizontal="left"/>
      <protection locked="0"/>
    </xf>
    <xf numFmtId="0" fontId="45" fillId="0" borderId="0" xfId="122" applyFont="1" applyAlignment="1" applyProtection="1">
      <alignment horizontal="center" vertical="center" wrapText="1"/>
      <protection locked="0"/>
    </xf>
    <xf numFmtId="0" fontId="45" fillId="0" borderId="0" xfId="122" applyFont="1" applyAlignment="1" applyProtection="1">
      <alignment wrapText="1"/>
      <protection locked="0"/>
    </xf>
    <xf numFmtId="0" fontId="12" fillId="0" borderId="0" xfId="0" applyFont="1" applyAlignment="1" applyProtection="1">
      <alignment horizontal="left" vertical="center"/>
      <protection locked="0"/>
    </xf>
    <xf numFmtId="0" fontId="14" fillId="0" borderId="0" xfId="0" applyFont="1" applyAlignment="1" applyProtection="1">
      <alignment vertical="center"/>
      <protection locked="0"/>
    </xf>
    <xf numFmtId="0" fontId="39" fillId="0" borderId="0" xfId="0" applyFont="1" applyAlignment="1">
      <alignment vertical="center"/>
    </xf>
    <xf numFmtId="0" fontId="12" fillId="0" borderId="0" xfId="0" applyFont="1" applyAlignment="1">
      <alignment vertical="center"/>
    </xf>
    <xf numFmtId="0" fontId="36" fillId="0" borderId="0" xfId="0" applyFont="1" applyAlignment="1">
      <alignment horizontal="left" vertical="center"/>
    </xf>
    <xf numFmtId="0" fontId="39" fillId="0" borderId="0" xfId="0" applyFont="1" applyAlignment="1">
      <alignment horizontal="left" vertical="center"/>
    </xf>
    <xf numFmtId="167" fontId="12" fillId="37" borderId="12" xfId="40" applyNumberFormat="1" applyFont="1" applyFill="1" applyBorder="1" applyAlignment="1" applyProtection="1"/>
    <xf numFmtId="167" fontId="45" fillId="37" borderId="12" xfId="40" applyNumberFormat="1" applyFont="1" applyFill="1" applyBorder="1" applyAlignment="1" applyProtection="1"/>
    <xf numFmtId="167" fontId="45" fillId="37" borderId="21" xfId="40" applyNumberFormat="1" applyFont="1" applyFill="1" applyBorder="1" applyAlignment="1" applyProtection="1"/>
    <xf numFmtId="0" fontId="14" fillId="0" borderId="0" xfId="83" applyFont="1" applyAlignment="1" applyProtection="1">
      <alignment horizontal="left" vertical="center"/>
      <protection locked="0"/>
    </xf>
    <xf numFmtId="44" fontId="12" fillId="38" borderId="0" xfId="78" applyNumberFormat="1" applyFont="1" applyFill="1" applyAlignment="1" applyProtection="1">
      <alignment wrapText="1"/>
      <protection locked="0"/>
    </xf>
    <xf numFmtId="0" fontId="12" fillId="38" borderId="0" xfId="78" applyFont="1" applyFill="1" applyAlignment="1" applyProtection="1">
      <alignment wrapText="1"/>
      <protection locked="0"/>
    </xf>
    <xf numFmtId="0" fontId="12" fillId="38" borderId="0" xfId="78" applyFont="1" applyFill="1" applyProtection="1">
      <protection locked="0"/>
    </xf>
    <xf numFmtId="0" fontId="14" fillId="38" borderId="0" xfId="78" applyFont="1" applyFill="1" applyAlignment="1" applyProtection="1">
      <alignment wrapText="1"/>
      <protection locked="0"/>
    </xf>
    <xf numFmtId="0" fontId="14" fillId="38" borderId="0" xfId="78" applyFont="1" applyFill="1" applyProtection="1">
      <protection locked="0"/>
    </xf>
    <xf numFmtId="0" fontId="12" fillId="0" borderId="0" xfId="78" applyFont="1" applyAlignment="1" applyProtection="1">
      <alignment wrapText="1"/>
      <protection locked="0"/>
    </xf>
    <xf numFmtId="0" fontId="12" fillId="0" borderId="0" xfId="78" applyFont="1" applyProtection="1">
      <protection locked="0"/>
    </xf>
    <xf numFmtId="41" fontId="12" fillId="42" borderId="16" xfId="78" applyNumberFormat="1" applyFont="1" applyFill="1" applyBorder="1" applyProtection="1">
      <protection locked="0"/>
    </xf>
    <xf numFmtId="41" fontId="12" fillId="42" borderId="98" xfId="78" applyNumberFormat="1" applyFont="1" applyFill="1" applyBorder="1" applyProtection="1">
      <protection locked="0"/>
    </xf>
    <xf numFmtId="3" fontId="12" fillId="38" borderId="0" xfId="78" applyNumberFormat="1" applyFont="1" applyFill="1" applyAlignment="1" applyProtection="1">
      <alignment wrapText="1"/>
      <protection locked="0"/>
    </xf>
    <xf numFmtId="42" fontId="12" fillId="38" borderId="0" xfId="78" applyNumberFormat="1" applyFont="1" applyFill="1" applyAlignment="1" applyProtection="1">
      <alignment wrapText="1"/>
      <protection locked="0"/>
    </xf>
    <xf numFmtId="4" fontId="12" fillId="38" borderId="0" xfId="78" applyNumberFormat="1" applyFont="1" applyFill="1" applyAlignment="1" applyProtection="1">
      <alignment wrapText="1"/>
      <protection locked="0"/>
    </xf>
    <xf numFmtId="0" fontId="14" fillId="34" borderId="84" xfId="78" applyFont="1" applyFill="1" applyBorder="1" applyAlignment="1">
      <alignment horizontal="left"/>
    </xf>
    <xf numFmtId="0" fontId="14" fillId="34" borderId="76" xfId="78" applyFont="1" applyFill="1" applyBorder="1" applyAlignment="1">
      <alignment wrapText="1"/>
    </xf>
    <xf numFmtId="3" fontId="14" fillId="34" borderId="3" xfId="78" applyNumberFormat="1" applyFont="1" applyFill="1" applyBorder="1" applyAlignment="1">
      <alignment horizontal="centerContinuous" vertical="center" wrapText="1"/>
    </xf>
    <xf numFmtId="3" fontId="14" fillId="34" borderId="77" xfId="78" applyNumberFormat="1" applyFont="1" applyFill="1" applyBorder="1" applyAlignment="1">
      <alignment horizontal="centerContinuous" vertical="center" wrapText="1"/>
    </xf>
    <xf numFmtId="3" fontId="14" fillId="34" borderId="111" xfId="78" applyNumberFormat="1" applyFont="1" applyFill="1" applyBorder="1" applyAlignment="1">
      <alignment horizontal="centerContinuous" vertical="center" wrapText="1"/>
    </xf>
    <xf numFmtId="42" fontId="14" fillId="34" borderId="111" xfId="78" applyNumberFormat="1" applyFont="1" applyFill="1" applyBorder="1" applyAlignment="1">
      <alignment horizontal="centerContinuous" vertical="center" wrapText="1"/>
    </xf>
    <xf numFmtId="42" fontId="14" fillId="34" borderId="3" xfId="78" applyNumberFormat="1" applyFont="1" applyFill="1" applyBorder="1" applyAlignment="1">
      <alignment horizontal="centerContinuous" vertical="center" wrapText="1"/>
    </xf>
    <xf numFmtId="42" fontId="14" fillId="34" borderId="77" xfId="78" applyNumberFormat="1" applyFont="1" applyFill="1" applyBorder="1" applyAlignment="1">
      <alignment horizontal="centerContinuous" vertical="center" wrapText="1"/>
    </xf>
    <xf numFmtId="4" fontId="14" fillId="34" borderId="111" xfId="78" applyNumberFormat="1" applyFont="1" applyFill="1" applyBorder="1" applyAlignment="1">
      <alignment horizontal="centerContinuous" vertical="center" wrapText="1"/>
    </xf>
    <xf numFmtId="4" fontId="14" fillId="34" borderId="3" xfId="78" applyNumberFormat="1" applyFont="1" applyFill="1" applyBorder="1" applyAlignment="1">
      <alignment horizontal="centerContinuous" vertical="center" wrapText="1"/>
    </xf>
    <xf numFmtId="4" fontId="14" fillId="34" borderId="77" xfId="78" applyNumberFormat="1" applyFont="1" applyFill="1" applyBorder="1" applyAlignment="1">
      <alignment horizontal="centerContinuous" vertical="center" wrapText="1"/>
    </xf>
    <xf numFmtId="44" fontId="14" fillId="34" borderId="111" xfId="78" applyNumberFormat="1" applyFont="1" applyFill="1" applyBorder="1" applyAlignment="1">
      <alignment horizontal="centerContinuous" vertical="center" wrapText="1"/>
    </xf>
    <xf numFmtId="44" fontId="14" fillId="34" borderId="3" xfId="78" applyNumberFormat="1" applyFont="1" applyFill="1" applyBorder="1" applyAlignment="1">
      <alignment horizontal="centerContinuous" vertical="center" wrapText="1"/>
    </xf>
    <xf numFmtId="44" fontId="14" fillId="34" borderId="109" xfId="78" applyNumberFormat="1" applyFont="1" applyFill="1" applyBorder="1" applyAlignment="1">
      <alignment horizontal="centerContinuous" vertical="center" wrapText="1"/>
    </xf>
    <xf numFmtId="44" fontId="14" fillId="34" borderId="78" xfId="78" applyNumberFormat="1" applyFont="1" applyFill="1" applyBorder="1" applyAlignment="1">
      <alignment horizontal="centerContinuous" vertical="center" wrapText="1"/>
    </xf>
    <xf numFmtId="167" fontId="12" fillId="42" borderId="18" xfId="45" applyNumberFormat="1" applyFont="1" applyFill="1" applyBorder="1" applyProtection="1">
      <protection locked="0"/>
    </xf>
    <xf numFmtId="167" fontId="12" fillId="42" borderId="23" xfId="45" applyNumberFormat="1" applyFont="1" applyFill="1" applyBorder="1" applyAlignment="1" applyProtection="1">
      <alignment horizontal="center"/>
      <protection locked="0"/>
    </xf>
    <xf numFmtId="167" fontId="12" fillId="42" borderId="18" xfId="45" applyNumberFormat="1" applyFont="1" applyFill="1" applyBorder="1" applyAlignment="1" applyProtection="1">
      <alignment horizontal="center"/>
      <protection locked="0"/>
    </xf>
    <xf numFmtId="167" fontId="12" fillId="42" borderId="12" xfId="45" applyNumberFormat="1" applyFont="1" applyFill="1" applyBorder="1" applyAlignment="1" applyProtection="1">
      <alignment horizontal="center"/>
      <protection locked="0"/>
    </xf>
    <xf numFmtId="44" fontId="12" fillId="42" borderId="12" xfId="40" applyFont="1" applyFill="1" applyBorder="1" applyAlignment="1" applyProtection="1">
      <protection locked="0"/>
    </xf>
    <xf numFmtId="167" fontId="14" fillId="42" borderId="12" xfId="45" applyNumberFormat="1" applyFont="1" applyFill="1" applyBorder="1" applyAlignment="1" applyProtection="1">
      <alignment horizontal="center"/>
      <protection locked="0"/>
    </xf>
    <xf numFmtId="44" fontId="12" fillId="34" borderId="24" xfId="40" applyFont="1" applyFill="1" applyBorder="1" applyProtection="1"/>
    <xf numFmtId="0" fontId="12" fillId="0" borderId="0" xfId="0" applyFont="1" applyAlignment="1" applyProtection="1">
      <alignment wrapText="1"/>
      <protection locked="0"/>
    </xf>
    <xf numFmtId="44" fontId="12" fillId="0" borderId="93" xfId="0" applyNumberFormat="1" applyFont="1" applyBorder="1"/>
    <xf numFmtId="44" fontId="12" fillId="0" borderId="105" xfId="0" applyNumberFormat="1" applyFont="1" applyBorder="1"/>
    <xf numFmtId="44" fontId="12" fillId="0" borderId="15" xfId="0" applyNumberFormat="1" applyFont="1" applyBorder="1"/>
    <xf numFmtId="167" fontId="12" fillId="0" borderId="42" xfId="0" applyNumberFormat="1" applyFont="1" applyBorder="1" applyAlignment="1">
      <alignment horizontal="fill"/>
    </xf>
    <xf numFmtId="167" fontId="12" fillId="0" borderId="41" xfId="0" applyNumberFormat="1" applyFont="1" applyBorder="1" applyAlignment="1">
      <alignment horizontal="fill"/>
    </xf>
    <xf numFmtId="167" fontId="12" fillId="0" borderId="24" xfId="0" applyNumberFormat="1" applyFont="1" applyBorder="1" applyAlignment="1">
      <alignment horizontal="fill"/>
    </xf>
    <xf numFmtId="167" fontId="12" fillId="0" borderId="93" xfId="0" applyNumberFormat="1" applyFont="1" applyBorder="1"/>
    <xf numFmtId="167" fontId="12" fillId="0" borderId="105" xfId="0" applyNumberFormat="1" applyFont="1" applyBorder="1"/>
    <xf numFmtId="167" fontId="12" fillId="0" borderId="15" xfId="0" applyNumberFormat="1" applyFont="1" applyBorder="1"/>
    <xf numFmtId="0" fontId="12" fillId="0" borderId="42" xfId="0" applyFont="1" applyBorder="1" applyAlignment="1">
      <alignment horizontal="fill"/>
    </xf>
    <xf numFmtId="0" fontId="12" fillId="0" borderId="41" xfId="0" applyFont="1" applyBorder="1" applyAlignment="1">
      <alignment horizontal="fill"/>
    </xf>
    <xf numFmtId="0" fontId="12" fillId="0" borderId="24" xfId="0" applyFont="1" applyBorder="1" applyAlignment="1">
      <alignment horizontal="fill"/>
    </xf>
    <xf numFmtId="10" fontId="12" fillId="24" borderId="12" xfId="0" applyNumberFormat="1" applyFont="1" applyFill="1" applyBorder="1"/>
    <xf numFmtId="10" fontId="12" fillId="24" borderId="42" xfId="0" applyNumberFormat="1" applyFont="1" applyFill="1" applyBorder="1"/>
    <xf numFmtId="10" fontId="12" fillId="24" borderId="41" xfId="0" applyNumberFormat="1" applyFont="1" applyFill="1" applyBorder="1"/>
    <xf numFmtId="10" fontId="12" fillId="24" borderId="24" xfId="0" applyNumberFormat="1" applyFont="1" applyFill="1" applyBorder="1"/>
    <xf numFmtId="10" fontId="12" fillId="34" borderId="12" xfId="90" applyNumberFormat="1" applyFont="1" applyFill="1" applyBorder="1" applyProtection="1"/>
    <xf numFmtId="172" fontId="12" fillId="24" borderId="12" xfId="0" applyNumberFormat="1" applyFont="1" applyFill="1" applyBorder="1"/>
    <xf numFmtId="172" fontId="12" fillId="24" borderId="41" xfId="0" applyNumberFormat="1" applyFont="1" applyFill="1" applyBorder="1"/>
    <xf numFmtId="172" fontId="12" fillId="24" borderId="67" xfId="0" applyNumberFormat="1" applyFont="1" applyFill="1" applyBorder="1"/>
    <xf numFmtId="172" fontId="12" fillId="24" borderId="42" xfId="0" applyNumberFormat="1" applyFont="1" applyFill="1" applyBorder="1"/>
    <xf numFmtId="172" fontId="12" fillId="24" borderId="24" xfId="0" applyNumberFormat="1" applyFont="1" applyFill="1" applyBorder="1"/>
    <xf numFmtId="0" fontId="14" fillId="37" borderId="24" xfId="83" applyFont="1" applyFill="1" applyBorder="1" applyAlignment="1">
      <alignment horizontal="centerContinuous" vertical="center"/>
    </xf>
    <xf numFmtId="0" fontId="14" fillId="37" borderId="4" xfId="83" applyFont="1" applyFill="1" applyBorder="1" applyAlignment="1">
      <alignment horizontal="centerContinuous" vertical="center"/>
    </xf>
    <xf numFmtId="0" fontId="14" fillId="37" borderId="19" xfId="83" applyFont="1" applyFill="1" applyBorder="1" applyAlignment="1">
      <alignment horizontal="centerContinuous" vertical="center"/>
    </xf>
    <xf numFmtId="0" fontId="14" fillId="0" borderId="14" xfId="83" applyFont="1" applyBorder="1" applyAlignment="1">
      <alignment horizontal="center" vertical="center"/>
    </xf>
    <xf numFmtId="14" fontId="14" fillId="37" borderId="24" xfId="83" applyNumberFormat="1" applyFont="1" applyFill="1" applyBorder="1" applyAlignment="1">
      <alignment horizontal="centerContinuous" vertical="center"/>
    </xf>
    <xf numFmtId="0" fontId="81" fillId="0" borderId="0" xfId="83" applyFont="1" applyAlignment="1">
      <alignment vertical="center"/>
    </xf>
    <xf numFmtId="0" fontId="81" fillId="0" borderId="0" xfId="83" applyFont="1" applyAlignment="1" applyProtection="1">
      <alignment vertical="center"/>
      <protection locked="0"/>
    </xf>
    <xf numFmtId="0" fontId="14" fillId="0" borderId="12" xfId="83" applyFont="1" applyBorder="1" applyAlignment="1">
      <alignment horizontal="left" vertical="center" wrapText="1"/>
    </xf>
    <xf numFmtId="0" fontId="14" fillId="0" borderId="24" xfId="83" applyFont="1" applyBorder="1" applyAlignment="1">
      <alignment horizontal="centerContinuous" vertical="center"/>
    </xf>
    <xf numFmtId="0" fontId="14" fillId="0" borderId="4" xfId="83" applyFont="1" applyBorder="1" applyAlignment="1">
      <alignment horizontal="centerContinuous" vertical="center"/>
    </xf>
    <xf numFmtId="0" fontId="14" fillId="0" borderId="19" xfId="83" applyFont="1" applyBorder="1" applyAlignment="1">
      <alignment horizontal="centerContinuous" vertical="center"/>
    </xf>
    <xf numFmtId="0" fontId="14" fillId="0" borderId="68" xfId="83" applyFont="1" applyBorder="1" applyAlignment="1">
      <alignment horizontal="centerContinuous" vertical="center"/>
    </xf>
    <xf numFmtId="0" fontId="14" fillId="0" borderId="67" xfId="83" applyFont="1" applyBorder="1" applyAlignment="1">
      <alignment horizontal="centerContinuous" vertical="center"/>
    </xf>
    <xf numFmtId="0" fontId="42" fillId="0" borderId="12" xfId="0" applyFont="1" applyBorder="1" applyAlignment="1">
      <alignment wrapText="1"/>
    </xf>
    <xf numFmtId="44" fontId="12" fillId="34" borderId="24" xfId="40" applyFont="1" applyFill="1" applyBorder="1"/>
    <xf numFmtId="167" fontId="12" fillId="24" borderId="42" xfId="40" applyNumberFormat="1" applyFont="1" applyFill="1" applyBorder="1" applyAlignment="1"/>
    <xf numFmtId="167" fontId="12" fillId="42" borderId="41" xfId="40" applyNumberFormat="1" applyFont="1" applyFill="1" applyBorder="1" applyAlignment="1" applyProtection="1">
      <protection locked="0"/>
    </xf>
    <xf numFmtId="167" fontId="12" fillId="24" borderId="24" xfId="40" applyNumberFormat="1" applyFont="1" applyFill="1" applyBorder="1" applyAlignment="1"/>
    <xf numFmtId="167" fontId="12" fillId="24" borderId="41" xfId="40" applyNumberFormat="1" applyFont="1" applyFill="1" applyBorder="1" applyAlignment="1"/>
    <xf numFmtId="167" fontId="12" fillId="34" borderId="12" xfId="40" applyNumberFormat="1" applyFont="1" applyFill="1" applyBorder="1" applyAlignment="1"/>
    <xf numFmtId="167" fontId="12" fillId="39" borderId="41" xfId="40" applyNumberFormat="1" applyFont="1" applyFill="1" applyBorder="1" applyAlignment="1" applyProtection="1">
      <protection locked="0"/>
    </xf>
    <xf numFmtId="167" fontId="12" fillId="37" borderId="41" xfId="40" applyNumberFormat="1" applyFont="1" applyFill="1" applyBorder="1" applyAlignment="1"/>
    <xf numFmtId="167" fontId="12" fillId="0" borderId="16" xfId="0" applyNumberFormat="1" applyFont="1" applyBorder="1"/>
    <xf numFmtId="167" fontId="12" fillId="39" borderId="12" xfId="0" applyNumberFormat="1" applyFont="1" applyFill="1" applyBorder="1" applyProtection="1">
      <protection locked="0"/>
    </xf>
    <xf numFmtId="167" fontId="12" fillId="39" borderId="41" xfId="0" applyNumberFormat="1" applyFont="1" applyFill="1" applyBorder="1" applyProtection="1">
      <protection locked="0"/>
    </xf>
    <xf numFmtId="167" fontId="12" fillId="0" borderId="67" xfId="0" applyNumberFormat="1" applyFont="1" applyBorder="1" applyAlignment="1">
      <alignment horizontal="fill"/>
    </xf>
    <xf numFmtId="10" fontId="12" fillId="34" borderId="12" xfId="90" applyNumberFormat="1" applyFont="1" applyFill="1" applyBorder="1"/>
    <xf numFmtId="164" fontId="12" fillId="0" borderId="0" xfId="0" applyNumberFormat="1" applyFont="1" applyAlignment="1" applyProtection="1">
      <alignment horizontal="center"/>
      <protection locked="0"/>
    </xf>
    <xf numFmtId="0" fontId="14" fillId="0" borderId="14" xfId="83" applyFont="1" applyBorder="1" applyAlignment="1" applyProtection="1">
      <alignment horizontal="center" vertical="center"/>
      <protection locked="0"/>
    </xf>
    <xf numFmtId="0" fontId="82" fillId="0" borderId="0" xfId="0" applyFont="1"/>
    <xf numFmtId="0" fontId="36" fillId="0" borderId="0" xfId="139" applyFont="1" applyAlignment="1" applyProtection="1">
      <alignment horizontal="left" vertical="top"/>
    </xf>
    <xf numFmtId="0" fontId="14" fillId="0" borderId="0" xfId="139" applyFont="1" applyAlignment="1" applyProtection="1"/>
    <xf numFmtId="38" fontId="12" fillId="0" borderId="0" xfId="141" applyNumberFormat="1" applyFont="1"/>
    <xf numFmtId="38" fontId="83" fillId="0" borderId="0" xfId="141" applyNumberFormat="1" applyFont="1"/>
    <xf numFmtId="0" fontId="12" fillId="0" borderId="0" xfId="139" applyAlignment="1" applyProtection="1"/>
    <xf numFmtId="0" fontId="12" fillId="0" borderId="0" xfId="139" applyAlignment="1" applyProtection="1">
      <protection locked="0"/>
    </xf>
    <xf numFmtId="14" fontId="36" fillId="38" borderId="0" xfId="139" applyNumberFormat="1" applyFont="1" applyFill="1" applyAlignment="1" applyProtection="1"/>
    <xf numFmtId="0" fontId="12" fillId="0" borderId="96" xfId="139" applyBorder="1" applyAlignment="1" applyProtection="1">
      <alignment horizontal="center"/>
    </xf>
    <xf numFmtId="0" fontId="12" fillId="0" borderId="41" xfId="139" applyBorder="1" applyAlignment="1" applyProtection="1">
      <alignment horizontal="center"/>
    </xf>
    <xf numFmtId="0" fontId="12" fillId="0" borderId="43" xfId="139" applyBorder="1" applyAlignment="1" applyProtection="1">
      <alignment horizontal="center"/>
    </xf>
    <xf numFmtId="44" fontId="43" fillId="0" borderId="0" xfId="133" applyNumberFormat="1" applyFont="1" applyBorder="1" applyProtection="1"/>
    <xf numFmtId="0" fontId="36" fillId="0" borderId="0" xfId="83" applyFont="1" applyAlignment="1">
      <alignment vertical="center"/>
    </xf>
    <xf numFmtId="44" fontId="12" fillId="37" borderId="85" xfId="139" applyNumberFormat="1" applyFill="1" applyBorder="1" applyAlignment="1" applyProtection="1"/>
    <xf numFmtId="44" fontId="12" fillId="37" borderId="25" xfId="139" applyNumberFormat="1" applyFill="1" applyBorder="1" applyAlignment="1" applyProtection="1"/>
    <xf numFmtId="44" fontId="45" fillId="37" borderId="44" xfId="133" applyNumberFormat="1" applyFont="1" applyFill="1" applyBorder="1" applyProtection="1"/>
    <xf numFmtId="0" fontId="12" fillId="36" borderId="112" xfId="139" applyFill="1" applyBorder="1" applyAlignment="1" applyProtection="1">
      <protection locked="0"/>
    </xf>
    <xf numFmtId="0" fontId="12" fillId="36" borderId="112" xfId="139" applyFill="1" applyBorder="1" applyAlignment="1" applyProtection="1">
      <alignment horizontal="center"/>
      <protection locked="0"/>
    </xf>
    <xf numFmtId="0" fontId="12" fillId="36" borderId="70" xfId="139" applyFill="1" applyBorder="1" applyAlignment="1" applyProtection="1">
      <protection locked="0"/>
    </xf>
    <xf numFmtId="0" fontId="12" fillId="36" borderId="19" xfId="139" applyFill="1" applyBorder="1" applyAlignment="1" applyProtection="1">
      <alignment horizontal="center"/>
      <protection locked="0"/>
    </xf>
    <xf numFmtId="0" fontId="12" fillId="36" borderId="19" xfId="139" applyFill="1" applyBorder="1" applyAlignment="1" applyProtection="1">
      <protection locked="0"/>
    </xf>
    <xf numFmtId="0" fontId="12" fillId="36" borderId="12" xfId="139" applyFill="1" applyBorder="1" applyAlignment="1" applyProtection="1">
      <protection locked="0"/>
    </xf>
    <xf numFmtId="0" fontId="12" fillId="36" borderId="113" xfId="139" applyFill="1" applyBorder="1" applyAlignment="1" applyProtection="1">
      <alignment horizontal="center"/>
      <protection locked="0"/>
    </xf>
    <xf numFmtId="0" fontId="12" fillId="36" borderId="113" xfId="139" applyFill="1" applyBorder="1" applyAlignment="1" applyProtection="1">
      <protection locked="0"/>
    </xf>
    <xf numFmtId="0" fontId="12" fillId="36" borderId="44" xfId="139" applyFill="1" applyBorder="1" applyAlignment="1" applyProtection="1">
      <protection locked="0"/>
    </xf>
    <xf numFmtId="44" fontId="12" fillId="36" borderId="70" xfId="133" applyNumberFormat="1" applyFont="1" applyFill="1" applyBorder="1" applyProtection="1">
      <protection locked="0"/>
    </xf>
    <xf numFmtId="44" fontId="12" fillId="36" borderId="12" xfId="133" applyNumberFormat="1" applyFont="1" applyFill="1" applyBorder="1" applyProtection="1">
      <protection locked="0"/>
    </xf>
    <xf numFmtId="44" fontId="12" fillId="36" borderId="44" xfId="133" applyNumberFormat="1" applyFont="1" applyFill="1" applyBorder="1" applyProtection="1">
      <protection locked="0"/>
    </xf>
    <xf numFmtId="44" fontId="12" fillId="37" borderId="114" xfId="139" applyNumberFormat="1" applyFill="1" applyBorder="1" applyAlignment="1" applyProtection="1"/>
    <xf numFmtId="0" fontId="14" fillId="34" borderId="114" xfId="139" applyFont="1" applyFill="1" applyBorder="1" applyAlignment="1" applyProtection="1"/>
    <xf numFmtId="0" fontId="36" fillId="0" borderId="0" xfId="139" applyFont="1" applyAlignment="1" applyProtection="1"/>
    <xf numFmtId="38" fontId="0" fillId="0" borderId="0" xfId="141" applyNumberFormat="1" applyFont="1"/>
    <xf numFmtId="38" fontId="0" fillId="0" borderId="0" xfId="141" applyNumberFormat="1" applyFont="1" applyProtection="1">
      <protection locked="0"/>
    </xf>
    <xf numFmtId="0" fontId="12" fillId="0" borderId="0" xfId="139" applyProtection="1">
      <alignment horizontal="centerContinuous" vertical="top"/>
      <protection locked="0"/>
    </xf>
    <xf numFmtId="0" fontId="12" fillId="38" borderId="0" xfId="139" applyFill="1" applyProtection="1">
      <alignment horizontal="centerContinuous" vertical="top"/>
      <protection locked="0"/>
    </xf>
    <xf numFmtId="0" fontId="12" fillId="32" borderId="0" xfId="139" applyFill="1" applyProtection="1">
      <alignment horizontal="centerContinuous" vertical="top"/>
      <protection locked="0"/>
    </xf>
    <xf numFmtId="0" fontId="12" fillId="38" borderId="0" xfId="141" applyFont="1" applyFill="1" applyAlignment="1" applyProtection="1">
      <alignment vertical="center"/>
      <protection locked="0"/>
    </xf>
    <xf numFmtId="0" fontId="14" fillId="0" borderId="0" xfId="141" applyFont="1" applyAlignment="1" applyProtection="1">
      <alignment horizontal="center" vertical="center" wrapText="1"/>
      <protection locked="0"/>
    </xf>
    <xf numFmtId="167" fontId="12" fillId="53" borderId="19" xfId="133" applyNumberFormat="1" applyFont="1" applyFill="1" applyBorder="1" applyAlignment="1" applyProtection="1">
      <alignment vertical="center"/>
      <protection locked="0"/>
    </xf>
    <xf numFmtId="167" fontId="12" fillId="53" borderId="12" xfId="133" applyNumberFormat="1" applyFont="1" applyFill="1" applyBorder="1" applyAlignment="1" applyProtection="1">
      <alignment vertical="center"/>
      <protection locked="0"/>
    </xf>
    <xf numFmtId="167" fontId="12" fillId="53" borderId="24" xfId="133" applyNumberFormat="1" applyFont="1" applyFill="1" applyBorder="1" applyAlignment="1" applyProtection="1">
      <alignment vertical="center"/>
      <protection locked="0"/>
    </xf>
    <xf numFmtId="167" fontId="12" fillId="54" borderId="42" xfId="133" applyNumberFormat="1" applyFont="1" applyFill="1" applyBorder="1" applyAlignment="1" applyProtection="1">
      <alignment vertical="center"/>
    </xf>
    <xf numFmtId="0" fontId="0" fillId="0" borderId="0" xfId="141" applyFont="1" applyProtection="1">
      <protection locked="0"/>
    </xf>
    <xf numFmtId="0" fontId="63" fillId="34" borderId="78" xfId="122" applyFont="1" applyFill="1" applyBorder="1" applyAlignment="1">
      <alignment horizontal="left"/>
    </xf>
    <xf numFmtId="0" fontId="74" fillId="34" borderId="77" xfId="122" applyFont="1" applyFill="1" applyBorder="1" applyAlignment="1">
      <alignment vertical="center"/>
    </xf>
    <xf numFmtId="0" fontId="74" fillId="34" borderId="77" xfId="122" applyFont="1" applyFill="1" applyBorder="1" applyAlignment="1">
      <alignment vertical="center" wrapText="1"/>
    </xf>
    <xf numFmtId="0" fontId="14" fillId="34" borderId="75" xfId="122" applyFont="1" applyFill="1" applyBorder="1" applyAlignment="1">
      <alignment wrapText="1"/>
    </xf>
    <xf numFmtId="0" fontId="14" fillId="34" borderId="75" xfId="122" applyFont="1" applyFill="1" applyBorder="1" applyAlignment="1">
      <alignment horizontal="left" vertical="center" wrapText="1"/>
    </xf>
    <xf numFmtId="167" fontId="12" fillId="36" borderId="112" xfId="133" applyNumberFormat="1" applyFont="1" applyFill="1" applyBorder="1" applyAlignment="1" applyProtection="1">
      <alignment vertical="center"/>
      <protection locked="0"/>
    </xf>
    <xf numFmtId="167" fontId="12" fillId="36" borderId="12" xfId="133" applyNumberFormat="1" applyFont="1" applyFill="1" applyBorder="1" applyAlignment="1" applyProtection="1">
      <alignment vertical="center"/>
      <protection locked="0"/>
    </xf>
    <xf numFmtId="167" fontId="12" fillId="36" borderId="24" xfId="133" applyNumberFormat="1" applyFont="1" applyFill="1" applyBorder="1" applyAlignment="1" applyProtection="1">
      <alignment vertical="center"/>
      <protection locked="0"/>
    </xf>
    <xf numFmtId="167" fontId="12" fillId="36" borderId="67" xfId="133" applyNumberFormat="1" applyFont="1" applyFill="1" applyBorder="1" applyAlignment="1" applyProtection="1">
      <alignment vertical="center"/>
      <protection locked="0"/>
    </xf>
    <xf numFmtId="167" fontId="12" fillId="36" borderId="19" xfId="133" applyNumberFormat="1" applyFont="1" applyFill="1" applyBorder="1" applyAlignment="1" applyProtection="1">
      <alignment vertical="center"/>
      <protection locked="0"/>
    </xf>
    <xf numFmtId="167" fontId="12" fillId="37" borderId="24" xfId="133" applyNumberFormat="1" applyFont="1" applyFill="1" applyBorder="1" applyAlignment="1" applyProtection="1">
      <alignment vertical="center"/>
    </xf>
    <xf numFmtId="167" fontId="12" fillId="37" borderId="12" xfId="133" applyNumberFormat="1" applyFont="1" applyFill="1" applyBorder="1" applyAlignment="1" applyProtection="1">
      <alignment vertical="center"/>
    </xf>
    <xf numFmtId="167" fontId="12" fillId="37" borderId="42" xfId="133" applyNumberFormat="1" applyFont="1" applyFill="1" applyBorder="1" applyAlignment="1" applyProtection="1">
      <alignment vertical="center"/>
    </xf>
    <xf numFmtId="167" fontId="12" fillId="37" borderId="19" xfId="133" applyNumberFormat="1" applyFont="1" applyFill="1" applyBorder="1" applyAlignment="1" applyProtection="1">
      <alignment vertical="center"/>
    </xf>
    <xf numFmtId="167" fontId="12" fillId="37" borderId="44" xfId="133" applyNumberFormat="1" applyFont="1" applyFill="1" applyBorder="1" applyAlignment="1" applyProtection="1">
      <alignment vertical="center"/>
    </xf>
    <xf numFmtId="167" fontId="12" fillId="37" borderId="45" xfId="133" applyNumberFormat="1" applyFont="1" applyFill="1" applyBorder="1" applyAlignment="1" applyProtection="1">
      <alignment vertical="center"/>
    </xf>
    <xf numFmtId="167" fontId="12" fillId="37" borderId="40" xfId="133" applyNumberFormat="1" applyFont="1" applyFill="1" applyBorder="1" applyAlignment="1" applyProtection="1">
      <alignment vertical="center"/>
    </xf>
    <xf numFmtId="0" fontId="12" fillId="0" borderId="41" xfId="141" applyFont="1" applyBorder="1" applyAlignment="1">
      <alignment horizontal="center" vertical="center"/>
    </xf>
    <xf numFmtId="200" fontId="12" fillId="0" borderId="42" xfId="141" applyNumberFormat="1" applyFont="1" applyBorder="1" applyAlignment="1">
      <alignment horizontal="left" vertical="center" wrapText="1"/>
    </xf>
    <xf numFmtId="0" fontId="12" fillId="0" borderId="96" xfId="141" applyFont="1" applyBorder="1" applyAlignment="1">
      <alignment horizontal="center" vertical="center"/>
    </xf>
    <xf numFmtId="0" fontId="12" fillId="0" borderId="123" xfId="141" applyFont="1" applyBorder="1" applyAlignment="1">
      <alignment vertical="center" wrapText="1"/>
    </xf>
    <xf numFmtId="0" fontId="12" fillId="0" borderId="39" xfId="141" applyFont="1" applyBorder="1" applyAlignment="1">
      <alignment horizontal="center" vertical="center"/>
    </xf>
    <xf numFmtId="0" fontId="12" fillId="0" borderId="42" xfId="141" applyFont="1" applyBorder="1" applyAlignment="1">
      <alignment horizontal="left" vertical="center" wrapText="1"/>
    </xf>
    <xf numFmtId="0" fontId="12" fillId="0" borderId="42" xfId="141" applyFont="1" applyBorder="1" applyAlignment="1">
      <alignment vertical="center" wrapText="1"/>
    </xf>
    <xf numFmtId="0" fontId="12" fillId="0" borderId="42" xfId="141" quotePrefix="1" applyFont="1" applyBorder="1" applyAlignment="1">
      <alignment horizontal="left" vertical="center" wrapText="1"/>
    </xf>
    <xf numFmtId="0" fontId="12" fillId="0" borderId="43" xfId="141" applyFont="1" applyBorder="1" applyAlignment="1">
      <alignment horizontal="center" vertical="center"/>
    </xf>
    <xf numFmtId="0" fontId="12" fillId="0" borderId="45" xfId="141" applyFont="1" applyBorder="1" applyAlignment="1">
      <alignment vertical="center" wrapText="1"/>
    </xf>
    <xf numFmtId="0" fontId="14" fillId="34" borderId="76" xfId="141" applyFont="1" applyFill="1" applyBorder="1" applyAlignment="1">
      <alignment horizontal="center" vertical="center" wrapText="1"/>
    </xf>
    <xf numFmtId="199" fontId="14" fillId="34" borderId="77" xfId="141" applyNumberFormat="1" applyFont="1" applyFill="1" applyBorder="1" applyAlignment="1">
      <alignment horizontal="center" vertical="center" wrapText="1"/>
    </xf>
    <xf numFmtId="199" fontId="14" fillId="34" borderId="69" xfId="141" applyNumberFormat="1" applyFont="1" applyFill="1" applyBorder="1" applyAlignment="1">
      <alignment horizontal="center" vertical="center" wrapText="1"/>
    </xf>
    <xf numFmtId="199" fontId="14" fillId="34" borderId="111" xfId="141" applyNumberFormat="1" applyFont="1" applyFill="1" applyBorder="1" applyAlignment="1">
      <alignment horizontal="center" vertical="center" wrapText="1"/>
    </xf>
    <xf numFmtId="0" fontId="14" fillId="34" borderId="75" xfId="141" applyFont="1" applyFill="1" applyBorder="1" applyAlignment="1">
      <alignment horizontal="center" vertical="center" wrapText="1"/>
    </xf>
    <xf numFmtId="167" fontId="60" fillId="55" borderId="12" xfId="133" applyNumberFormat="1" applyFont="1" applyFill="1" applyBorder="1" applyAlignment="1" applyProtection="1">
      <alignment vertical="center"/>
      <protection locked="0"/>
    </xf>
    <xf numFmtId="167" fontId="60" fillId="55" borderId="24" xfId="133" applyNumberFormat="1" applyFont="1" applyFill="1" applyBorder="1" applyAlignment="1" applyProtection="1">
      <alignment vertical="center"/>
      <protection locked="0"/>
    </xf>
    <xf numFmtId="167" fontId="60" fillId="55" borderId="19" xfId="133" applyNumberFormat="1" applyFont="1" applyFill="1" applyBorder="1" applyAlignment="1" applyProtection="1">
      <alignment vertical="center"/>
      <protection locked="0"/>
    </xf>
    <xf numFmtId="167" fontId="60" fillId="55" borderId="12" xfId="133" quotePrefix="1" applyNumberFormat="1" applyFont="1" applyFill="1" applyBorder="1" applyAlignment="1" applyProtection="1">
      <alignment horizontal="left" vertical="center"/>
      <protection locked="0"/>
    </xf>
    <xf numFmtId="0" fontId="14" fillId="0" borderId="76" xfId="141" applyFont="1" applyBorder="1" applyAlignment="1">
      <alignment horizontal="center" vertical="center" wrapText="1"/>
    </xf>
    <xf numFmtId="0" fontId="14" fillId="0" borderId="75" xfId="141" applyFont="1" applyBorder="1" applyAlignment="1">
      <alignment horizontal="left" vertical="center" wrapText="1"/>
    </xf>
    <xf numFmtId="167" fontId="12" fillId="37" borderId="112" xfId="133" applyNumberFormat="1" applyFont="1" applyFill="1" applyBorder="1" applyAlignment="1" applyProtection="1">
      <alignment vertical="center"/>
    </xf>
    <xf numFmtId="167" fontId="12" fillId="37" borderId="123" xfId="133" applyNumberFormat="1" applyFont="1" applyFill="1" applyBorder="1" applyAlignment="1" applyProtection="1">
      <alignment vertical="center"/>
    </xf>
    <xf numFmtId="0" fontId="113" fillId="56" borderId="78" xfId="141" applyFont="1" applyFill="1" applyBorder="1" applyAlignment="1">
      <alignment horizontal="left" vertical="center"/>
    </xf>
    <xf numFmtId="0" fontId="114" fillId="56" borderId="3" xfId="141" applyFont="1" applyFill="1" applyBorder="1" applyAlignment="1">
      <alignment vertical="center" wrapText="1"/>
    </xf>
    <xf numFmtId="0" fontId="115" fillId="56" borderId="3" xfId="141" quotePrefix="1" applyFont="1" applyFill="1" applyBorder="1" applyAlignment="1">
      <alignment horizontal="centerContinuous" vertical="center"/>
    </xf>
    <xf numFmtId="0" fontId="114" fillId="56" borderId="3" xfId="141" applyFont="1" applyFill="1" applyBorder="1" applyAlignment="1">
      <alignment horizontal="centerContinuous" vertical="center"/>
    </xf>
    <xf numFmtId="0" fontId="114" fillId="56" borderId="77" xfId="141" applyFont="1" applyFill="1" applyBorder="1" applyAlignment="1">
      <alignment horizontal="centerContinuous" vertical="center"/>
    </xf>
    <xf numFmtId="0" fontId="115" fillId="56" borderId="77" xfId="141" quotePrefix="1" applyFont="1" applyFill="1" applyBorder="1" applyAlignment="1">
      <alignment horizontal="centerContinuous" vertical="center"/>
    </xf>
    <xf numFmtId="0" fontId="114" fillId="56" borderId="3" xfId="141" applyFont="1" applyFill="1" applyBorder="1" applyAlignment="1">
      <alignment vertical="center"/>
    </xf>
    <xf numFmtId="0" fontId="114" fillId="56" borderId="109" xfId="141" applyFont="1" applyFill="1" applyBorder="1" applyAlignment="1">
      <alignment vertical="center"/>
    </xf>
    <xf numFmtId="167" fontId="12" fillId="36" borderId="42" xfId="133" applyNumberFormat="1" applyFont="1" applyFill="1" applyBorder="1" applyAlignment="1" applyProtection="1">
      <alignment vertical="center"/>
      <protection locked="0"/>
    </xf>
    <xf numFmtId="167" fontId="12" fillId="37" borderId="113" xfId="133" applyNumberFormat="1" applyFont="1" applyFill="1" applyBorder="1" applyAlignment="1" applyProtection="1">
      <alignment vertical="center"/>
    </xf>
    <xf numFmtId="167" fontId="60" fillId="36" borderId="33" xfId="133" applyNumberFormat="1" applyFont="1" applyFill="1" applyBorder="1" applyAlignment="1" applyProtection="1">
      <alignment vertical="center"/>
      <protection locked="0"/>
    </xf>
    <xf numFmtId="167" fontId="60" fillId="36" borderId="19" xfId="133" applyNumberFormat="1" applyFont="1" applyFill="1" applyBorder="1" applyAlignment="1" applyProtection="1">
      <alignment vertical="center"/>
      <protection locked="0"/>
    </xf>
    <xf numFmtId="167" fontId="60" fillId="36" borderId="52" xfId="133" applyNumberFormat="1" applyFont="1" applyFill="1" applyBorder="1" applyAlignment="1" applyProtection="1">
      <alignment vertical="center"/>
      <protection locked="0"/>
    </xf>
    <xf numFmtId="167" fontId="12" fillId="57" borderId="24" xfId="133" applyNumberFormat="1" applyFont="1" applyFill="1" applyBorder="1" applyAlignment="1" applyProtection="1">
      <alignment vertical="center"/>
      <protection locked="0"/>
    </xf>
    <xf numFmtId="167" fontId="60" fillId="36" borderId="128" xfId="133" applyNumberFormat="1" applyFont="1" applyFill="1" applyBorder="1" applyAlignment="1" applyProtection="1">
      <alignment vertical="center"/>
      <protection locked="0"/>
    </xf>
    <xf numFmtId="167" fontId="12" fillId="36" borderId="126" xfId="133" applyNumberFormat="1" applyFont="1" applyFill="1" applyBorder="1" applyAlignment="1" applyProtection="1">
      <alignment vertical="center"/>
      <protection locked="0"/>
    </xf>
    <xf numFmtId="167" fontId="12" fillId="36" borderId="40" xfId="133" applyNumberFormat="1" applyFont="1" applyFill="1" applyBorder="1" applyAlignment="1" applyProtection="1">
      <alignment vertical="center"/>
      <protection locked="0"/>
    </xf>
    <xf numFmtId="167" fontId="60" fillId="36" borderId="41" xfId="133" applyNumberFormat="1" applyFont="1" applyFill="1" applyBorder="1" applyAlignment="1" applyProtection="1">
      <alignment vertical="center"/>
      <protection locked="0"/>
    </xf>
    <xf numFmtId="0" fontId="12" fillId="0" borderId="0" xfId="141" applyFont="1" applyAlignment="1" applyProtection="1">
      <alignment vertical="center"/>
      <protection locked="0"/>
    </xf>
    <xf numFmtId="201" fontId="39" fillId="0" borderId="26" xfId="0" applyNumberFormat="1" applyFont="1" applyBorder="1" applyProtection="1">
      <protection locked="0"/>
    </xf>
    <xf numFmtId="167" fontId="60" fillId="55" borderId="52" xfId="133" applyNumberFormat="1" applyFont="1" applyFill="1" applyBorder="1" applyAlignment="1" applyProtection="1">
      <alignment vertical="center"/>
      <protection locked="0"/>
    </xf>
    <xf numFmtId="200" fontId="12" fillId="37" borderId="42" xfId="141" applyNumberFormat="1" applyFont="1" applyFill="1" applyBorder="1" applyAlignment="1">
      <alignment horizontal="left" vertical="center" wrapText="1"/>
    </xf>
    <xf numFmtId="167" fontId="12" fillId="37" borderId="124" xfId="133" applyNumberFormat="1" applyFont="1" applyFill="1" applyBorder="1" applyAlignment="1" applyProtection="1">
      <alignment vertical="center"/>
    </xf>
    <xf numFmtId="49" fontId="14" fillId="37" borderId="24" xfId="83" applyNumberFormat="1" applyFont="1" applyFill="1" applyBorder="1" applyAlignment="1">
      <alignment horizontal="centerContinuous" vertical="center"/>
    </xf>
    <xf numFmtId="49" fontId="14" fillId="37" borderId="4" xfId="83" applyNumberFormat="1" applyFont="1" applyFill="1" applyBorder="1" applyAlignment="1">
      <alignment horizontal="centerContinuous" vertical="center"/>
    </xf>
    <xf numFmtId="49" fontId="14" fillId="37" borderId="19" xfId="83" applyNumberFormat="1" applyFont="1" applyFill="1" applyBorder="1" applyAlignment="1">
      <alignment horizontal="centerContinuous" vertical="center"/>
    </xf>
    <xf numFmtId="0" fontId="63" fillId="34" borderId="66" xfId="0" applyFont="1" applyFill="1" applyBorder="1" applyAlignment="1">
      <alignment vertical="center" wrapText="1"/>
    </xf>
    <xf numFmtId="167" fontId="12" fillId="36" borderId="52" xfId="133" applyNumberFormat="1" applyFont="1" applyFill="1" applyBorder="1" applyAlignment="1" applyProtection="1">
      <alignment vertical="center"/>
      <protection locked="0"/>
    </xf>
    <xf numFmtId="0" fontId="115" fillId="56" borderId="127" xfId="141" quotePrefix="1" applyFont="1" applyFill="1" applyBorder="1" applyAlignment="1">
      <alignment horizontal="centerContinuous" vertical="center"/>
    </xf>
    <xf numFmtId="199" fontId="14" fillId="34" borderId="127" xfId="141" applyNumberFormat="1" applyFont="1" applyFill="1" applyBorder="1" applyAlignment="1">
      <alignment horizontal="center" vertical="center" wrapText="1"/>
    </xf>
    <xf numFmtId="167" fontId="60" fillId="55" borderId="99" xfId="133" applyNumberFormat="1" applyFont="1" applyFill="1" applyBorder="1" applyAlignment="1" applyProtection="1">
      <alignment vertical="center"/>
      <protection locked="0"/>
    </xf>
    <xf numFmtId="167" fontId="12" fillId="57" borderId="19" xfId="133" applyNumberFormat="1" applyFont="1" applyFill="1" applyBorder="1" applyAlignment="1" applyProtection="1">
      <alignment vertical="center"/>
      <protection locked="0"/>
    </xf>
    <xf numFmtId="167" fontId="12" fillId="36" borderId="68" xfId="133" applyNumberFormat="1" applyFont="1" applyFill="1" applyBorder="1" applyAlignment="1" applyProtection="1">
      <alignment vertical="center"/>
      <protection locked="0"/>
    </xf>
    <xf numFmtId="167" fontId="12" fillId="57" borderId="68" xfId="133" applyNumberFormat="1" applyFont="1" applyFill="1" applyBorder="1" applyAlignment="1" applyProtection="1">
      <alignment vertical="center"/>
      <protection locked="0"/>
    </xf>
    <xf numFmtId="164" fontId="12" fillId="0" borderId="96" xfId="0" applyNumberFormat="1" applyFont="1" applyBorder="1" applyAlignment="1">
      <alignment horizontal="center" vertical="center"/>
    </xf>
    <xf numFmtId="0" fontId="10" fillId="0" borderId="70" xfId="0" applyFont="1" applyBorder="1" applyAlignment="1">
      <alignment wrapText="1"/>
    </xf>
    <xf numFmtId="0" fontId="10" fillId="0" borderId="126" xfId="0" applyFont="1" applyBorder="1" applyAlignment="1">
      <alignment wrapText="1"/>
    </xf>
    <xf numFmtId="164" fontId="12" fillId="0" borderId="41" xfId="0" applyNumberFormat="1" applyFont="1" applyBorder="1" applyAlignment="1">
      <alignment horizontal="center" vertical="center"/>
    </xf>
    <xf numFmtId="0" fontId="10" fillId="0" borderId="12" xfId="0" applyFont="1" applyBorder="1" applyAlignment="1">
      <alignment wrapText="1"/>
    </xf>
    <xf numFmtId="0" fontId="10" fillId="0" borderId="42" xfId="0" applyFont="1" applyBorder="1" applyAlignment="1">
      <alignment vertical="top" wrapText="1"/>
    </xf>
    <xf numFmtId="0" fontId="36" fillId="0" borderId="0" xfId="652" applyFont="1" applyAlignment="1" applyProtection="1"/>
    <xf numFmtId="0" fontId="12" fillId="38" borderId="0" xfId="652" applyFont="1" applyFill="1" applyAlignment="1" applyProtection="1">
      <alignment horizontal="center" vertical="center"/>
    </xf>
    <xf numFmtId="0" fontId="12" fillId="38" borderId="0" xfId="652" applyFont="1" applyFill="1" applyAlignment="1" applyProtection="1">
      <alignment wrapText="1"/>
    </xf>
    <xf numFmtId="0" fontId="12" fillId="0" borderId="0" xfId="652" applyFont="1" applyProtection="1">
      <alignment horizontal="centerContinuous" vertical="top"/>
      <protection locked="0"/>
    </xf>
    <xf numFmtId="0" fontId="12" fillId="38" borderId="0" xfId="652" applyFont="1" applyFill="1" applyProtection="1">
      <alignment horizontal="centerContinuous" vertical="top"/>
    </xf>
    <xf numFmtId="0" fontId="12" fillId="38" borderId="12" xfId="652" applyFont="1" applyFill="1" applyBorder="1" applyAlignment="1" applyProtection="1">
      <alignment horizontal="center" vertical="top"/>
    </xf>
    <xf numFmtId="0" fontId="12" fillId="38" borderId="12" xfId="652" applyFont="1" applyFill="1" applyBorder="1" applyAlignment="1" applyProtection="1">
      <alignment horizontal="left" vertical="top"/>
    </xf>
    <xf numFmtId="0" fontId="12" fillId="0" borderId="12" xfId="652" applyFont="1" applyBorder="1" applyAlignment="1" applyProtection="1">
      <alignment horizontal="left" vertical="top" wrapText="1"/>
    </xf>
    <xf numFmtId="0" fontId="12" fillId="38" borderId="0" xfId="652" applyFont="1" applyFill="1" applyProtection="1">
      <alignment horizontal="centerContinuous" vertical="top"/>
      <protection locked="0"/>
    </xf>
    <xf numFmtId="0" fontId="12" fillId="38" borderId="0" xfId="652" applyFont="1" applyFill="1" applyAlignment="1" applyProtection="1">
      <alignment wrapText="1"/>
      <protection locked="0"/>
    </xf>
    <xf numFmtId="0" fontId="14" fillId="38" borderId="0" xfId="652" applyFont="1" applyFill="1" applyProtection="1">
      <alignment horizontal="centerContinuous" vertical="top"/>
      <protection locked="0"/>
    </xf>
    <xf numFmtId="0" fontId="14" fillId="0" borderId="0" xfId="652" applyFont="1" applyProtection="1">
      <alignment horizontal="centerContinuous" vertical="top"/>
      <protection locked="0"/>
    </xf>
    <xf numFmtId="0" fontId="117" fillId="0" borderId="0" xfId="0" applyFont="1" applyAlignment="1">
      <alignment vertical="center"/>
    </xf>
    <xf numFmtId="0" fontId="123" fillId="0" borderId="114" xfId="0" applyFont="1" applyBorder="1" applyAlignment="1">
      <alignment vertical="center" wrapText="1"/>
    </xf>
    <xf numFmtId="0" fontId="123" fillId="0" borderId="109" xfId="0" applyFont="1" applyBorder="1" applyAlignment="1">
      <alignment vertical="center" wrapText="1"/>
    </xf>
    <xf numFmtId="0" fontId="77" fillId="0" borderId="106" xfId="0" applyFont="1" applyBorder="1" applyAlignment="1">
      <alignment horizontal="left" vertical="center" wrapText="1" indent="2"/>
    </xf>
    <xf numFmtId="0" fontId="79" fillId="0" borderId="93" xfId="0" applyFont="1" applyBorder="1" applyAlignment="1">
      <alignment horizontal="center" vertical="center" wrapText="1"/>
    </xf>
    <xf numFmtId="0" fontId="0" fillId="0" borderId="93" xfId="0" applyBorder="1" applyAlignment="1">
      <alignment vertical="top" wrapText="1"/>
    </xf>
    <xf numFmtId="0" fontId="77" fillId="0" borderId="131" xfId="0" applyFont="1" applyBorder="1" applyAlignment="1">
      <alignment horizontal="left" vertical="center" wrapText="1" indent="2"/>
    </xf>
    <xf numFmtId="0" fontId="0" fillId="0" borderId="88" xfId="0" applyBorder="1" applyAlignment="1">
      <alignment vertical="top" wrapText="1"/>
    </xf>
    <xf numFmtId="0" fontId="79" fillId="0" borderId="88" xfId="0" applyFont="1" applyBorder="1" applyAlignment="1">
      <alignment horizontal="center" vertical="center" wrapText="1"/>
    </xf>
    <xf numFmtId="0" fontId="34" fillId="0" borderId="88" xfId="0" applyFont="1" applyBorder="1" applyAlignment="1">
      <alignment vertical="top" wrapText="1"/>
    </xf>
    <xf numFmtId="0" fontId="12" fillId="0" borderId="88" xfId="0" applyFont="1" applyBorder="1" applyAlignment="1">
      <alignment horizontal="center" vertical="center" wrapText="1"/>
    </xf>
    <xf numFmtId="0" fontId="79" fillId="0" borderId="131" xfId="0" applyFont="1" applyBorder="1" applyAlignment="1">
      <alignment vertical="center" wrapText="1"/>
    </xf>
    <xf numFmtId="0" fontId="77" fillId="0" borderId="71" xfId="0" applyFont="1" applyBorder="1" applyAlignment="1">
      <alignment horizontal="left" vertical="center" wrapText="1" indent="2"/>
    </xf>
    <xf numFmtId="0" fontId="79" fillId="0" borderId="131" xfId="0" applyFont="1" applyBorder="1" applyAlignment="1">
      <alignment horizontal="left" vertical="center" wrapText="1" indent="2"/>
    </xf>
    <xf numFmtId="0" fontId="14" fillId="34" borderId="78" xfId="0" applyFont="1" applyFill="1" applyBorder="1" applyAlignment="1">
      <alignment horizontal="center" wrapText="1"/>
    </xf>
    <xf numFmtId="0" fontId="14" fillId="34" borderId="111" xfId="0" applyFont="1" applyFill="1" applyBorder="1" applyAlignment="1">
      <alignment horizontal="center" wrapText="1"/>
    </xf>
    <xf numFmtId="0" fontId="14" fillId="34" borderId="75" xfId="0" applyFont="1" applyFill="1" applyBorder="1" applyAlignment="1">
      <alignment horizontal="center" wrapText="1"/>
    </xf>
    <xf numFmtId="0" fontId="73" fillId="0" borderId="0" xfId="0" applyFont="1" applyAlignment="1">
      <alignment vertical="center"/>
    </xf>
    <xf numFmtId="0" fontId="12" fillId="0" borderId="131" xfId="0" applyFont="1" applyBorder="1" applyAlignment="1">
      <alignment vertical="center" wrapText="1"/>
    </xf>
    <xf numFmtId="0" fontId="12" fillId="0" borderId="88" xfId="0" applyFont="1" applyBorder="1" applyAlignment="1">
      <alignment vertical="center"/>
    </xf>
    <xf numFmtId="0" fontId="75" fillId="0" borderId="88" xfId="0" applyFont="1" applyBorder="1" applyAlignment="1">
      <alignment vertical="center" wrapText="1"/>
    </xf>
    <xf numFmtId="0" fontId="12" fillId="0" borderId="88" xfId="0" applyFont="1" applyBorder="1" applyAlignment="1">
      <alignment vertical="center" wrapText="1"/>
    </xf>
    <xf numFmtId="0" fontId="12" fillId="0" borderId="93" xfId="0" applyFont="1" applyBorder="1" applyAlignment="1">
      <alignment vertical="center" wrapText="1"/>
    </xf>
    <xf numFmtId="0" fontId="14" fillId="0" borderId="131" xfId="0" applyFont="1" applyBorder="1" applyAlignment="1">
      <alignment vertical="center" wrapText="1"/>
    </xf>
    <xf numFmtId="0" fontId="60" fillId="0" borderId="88" xfId="0" applyFont="1" applyBorder="1" applyAlignment="1">
      <alignment vertical="center"/>
    </xf>
    <xf numFmtId="0" fontId="60" fillId="0" borderId="88" xfId="0" applyFont="1" applyBorder="1" applyAlignment="1">
      <alignment vertical="center" wrapText="1"/>
    </xf>
    <xf numFmtId="0" fontId="14" fillId="0" borderId="88" xfId="0" applyFont="1" applyBorder="1" applyAlignment="1">
      <alignment vertical="center"/>
    </xf>
    <xf numFmtId="0" fontId="14" fillId="0" borderId="88" xfId="0" applyFont="1" applyBorder="1" applyAlignment="1">
      <alignment vertical="center" wrapText="1"/>
    </xf>
    <xf numFmtId="0" fontId="12" fillId="0" borderId="114" xfId="140" applyBorder="1" applyAlignment="1">
      <alignment horizontal="left" vertical="top" wrapText="1"/>
    </xf>
    <xf numFmtId="0" fontId="12" fillId="0" borderId="114" xfId="0" applyFont="1" applyBorder="1" applyAlignment="1">
      <alignment vertical="center" wrapText="1"/>
    </xf>
    <xf numFmtId="0" fontId="34" fillId="0" borderId="88" xfId="0" applyFont="1" applyBorder="1" applyAlignment="1">
      <alignment vertical="top"/>
    </xf>
    <xf numFmtId="0" fontId="118" fillId="0" borderId="114" xfId="0" applyFont="1" applyBorder="1" applyAlignment="1">
      <alignment vertical="center"/>
    </xf>
    <xf numFmtId="0" fontId="118" fillId="0" borderId="109" xfId="0" applyFont="1" applyBorder="1" applyAlignment="1">
      <alignment vertical="center" wrapText="1"/>
    </xf>
    <xf numFmtId="0" fontId="118" fillId="0" borderId="109" xfId="0" applyFont="1" applyBorder="1" applyAlignment="1">
      <alignment vertical="center"/>
    </xf>
    <xf numFmtId="0" fontId="73" fillId="0" borderId="131" xfId="0" applyFont="1" applyBorder="1" applyAlignment="1">
      <alignment vertical="center"/>
    </xf>
    <xf numFmtId="0" fontId="73" fillId="0" borderId="88" xfId="0" applyFont="1" applyBorder="1" applyAlignment="1">
      <alignment vertical="center" wrapText="1"/>
    </xf>
    <xf numFmtId="0" fontId="118" fillId="0" borderId="88" xfId="0" applyFont="1" applyBorder="1" applyAlignment="1">
      <alignment vertical="center"/>
    </xf>
    <xf numFmtId="0" fontId="73" fillId="0" borderId="88" xfId="0" applyFont="1" applyBorder="1" applyAlignment="1">
      <alignment vertical="center"/>
    </xf>
    <xf numFmtId="0" fontId="73" fillId="0" borderId="131" xfId="0" applyFont="1" applyBorder="1" applyAlignment="1">
      <alignment horizontal="left" vertical="center"/>
    </xf>
    <xf numFmtId="0" fontId="14" fillId="43" borderId="12" xfId="0" applyFont="1" applyFill="1" applyBorder="1" applyAlignment="1">
      <alignment horizontal="centerContinuous" vertical="top"/>
    </xf>
    <xf numFmtId="0" fontId="79" fillId="0" borderId="25" xfId="0" applyFont="1" applyBorder="1" applyAlignment="1">
      <alignment horizontal="left" vertical="center"/>
    </xf>
    <xf numFmtId="0" fontId="79" fillId="0" borderId="16" xfId="0" applyFont="1" applyBorder="1" applyAlignment="1">
      <alignment horizontal="left" vertical="top" indent="2"/>
    </xf>
    <xf numFmtId="0" fontId="65" fillId="0" borderId="16" xfId="0" applyFont="1" applyBorder="1" applyAlignment="1">
      <alignment horizontal="left" vertical="top" indent="2"/>
    </xf>
    <xf numFmtId="0" fontId="79" fillId="0" borderId="21" xfId="0" applyFont="1" applyBorder="1" applyAlignment="1">
      <alignment horizontal="left" vertical="top" indent="2"/>
    </xf>
    <xf numFmtId="0" fontId="79" fillId="0" borderId="0" xfId="0" applyFont="1" applyAlignment="1">
      <alignment horizontal="left" vertical="top" indent="2"/>
    </xf>
    <xf numFmtId="0" fontId="34" fillId="0" borderId="71" xfId="0" applyFont="1" applyBorder="1" applyAlignment="1">
      <alignment vertical="top" wrapText="1"/>
    </xf>
    <xf numFmtId="0" fontId="34" fillId="0" borderId="106" xfId="0" applyFont="1" applyBorder="1" applyAlignment="1">
      <alignment vertical="top" wrapText="1"/>
    </xf>
    <xf numFmtId="0" fontId="34" fillId="0" borderId="131" xfId="0" applyFont="1" applyBorder="1" applyAlignment="1">
      <alignment vertical="top" wrapText="1"/>
    </xf>
    <xf numFmtId="0" fontId="12" fillId="0" borderId="42" xfId="122" applyBorder="1" applyAlignment="1">
      <alignment horizontal="left" wrapText="1"/>
    </xf>
    <xf numFmtId="0" fontId="123" fillId="0" borderId="109" xfId="0" applyFont="1" applyBorder="1" applyAlignment="1">
      <alignment horizontal="center" vertical="center" wrapText="1"/>
    </xf>
    <xf numFmtId="0" fontId="12" fillId="0" borderId="0" xfId="140" applyAlignment="1">
      <alignment horizontal="center"/>
    </xf>
    <xf numFmtId="0" fontId="14" fillId="34" borderId="99" xfId="0" applyFont="1" applyFill="1" applyBorder="1" applyAlignment="1">
      <alignment horizontal="center" wrapText="1"/>
    </xf>
    <xf numFmtId="0" fontId="79" fillId="0" borderId="71" xfId="0" applyFont="1" applyBorder="1" applyAlignment="1">
      <alignment vertical="center" wrapText="1"/>
    </xf>
    <xf numFmtId="0" fontId="79" fillId="0" borderId="106" xfId="0" applyFont="1" applyBorder="1" applyAlignment="1">
      <alignment vertical="center" wrapText="1"/>
    </xf>
    <xf numFmtId="0" fontId="79" fillId="0" borderId="87" xfId="0" applyFont="1" applyBorder="1" applyAlignment="1">
      <alignment horizontal="center" vertical="center" wrapText="1"/>
    </xf>
    <xf numFmtId="0" fontId="0" fillId="0" borderId="87" xfId="0" applyBorder="1" applyAlignment="1">
      <alignment vertical="top" wrapText="1"/>
    </xf>
    <xf numFmtId="0" fontId="12" fillId="33" borderId="72" xfId="0" applyFont="1" applyFill="1" applyBorder="1" applyAlignment="1">
      <alignment vertical="center" wrapText="1"/>
    </xf>
    <xf numFmtId="0" fontId="12" fillId="33" borderId="73" xfId="0" applyFont="1" applyFill="1" applyBorder="1" applyAlignment="1">
      <alignment wrapText="1"/>
    </xf>
    <xf numFmtId="0" fontId="12" fillId="33" borderId="73" xfId="0" applyFont="1" applyFill="1" applyBorder="1" applyAlignment="1">
      <alignment horizontal="justify" vertical="center"/>
    </xf>
    <xf numFmtId="0" fontId="0" fillId="33" borderId="73" xfId="0" applyFill="1" applyBorder="1" applyAlignment="1">
      <alignment wrapText="1"/>
    </xf>
    <xf numFmtId="0" fontId="12" fillId="33" borderId="74" xfId="0" applyFont="1" applyFill="1" applyBorder="1" applyAlignment="1">
      <alignment wrapText="1"/>
    </xf>
    <xf numFmtId="0" fontId="126" fillId="0" borderId="88" xfId="0" applyFont="1" applyBorder="1" applyAlignment="1">
      <alignment vertical="center" wrapText="1"/>
    </xf>
    <xf numFmtId="167" fontId="12" fillId="37" borderId="12" xfId="40" applyNumberFormat="1" applyFont="1" applyFill="1" applyBorder="1" applyProtection="1"/>
    <xf numFmtId="167" fontId="12" fillId="24" borderId="42" xfId="40" applyNumberFormat="1" applyFont="1" applyFill="1" applyBorder="1" applyProtection="1"/>
    <xf numFmtId="167" fontId="12" fillId="37" borderId="41" xfId="40" applyNumberFormat="1" applyFont="1" applyFill="1" applyBorder="1" applyProtection="1"/>
    <xf numFmtId="167" fontId="12" fillId="24" borderId="24" xfId="40" applyNumberFormat="1" applyFont="1" applyFill="1" applyBorder="1" applyProtection="1"/>
    <xf numFmtId="167" fontId="12" fillId="24" borderId="41" xfId="40" applyNumberFormat="1" applyFont="1" applyFill="1" applyBorder="1" applyProtection="1"/>
    <xf numFmtId="1" fontId="12" fillId="43" borderId="16" xfId="78" applyNumberFormat="1" applyFont="1" applyFill="1" applyBorder="1"/>
    <xf numFmtId="44" fontId="12" fillId="24" borderId="41" xfId="45" applyNumberFormat="1" applyFont="1" applyFill="1" applyBorder="1"/>
    <xf numFmtId="44" fontId="12" fillId="24" borderId="12" xfId="45" applyNumberFormat="1" applyFont="1" applyFill="1" applyBorder="1"/>
    <xf numFmtId="44" fontId="12" fillId="24" borderId="42" xfId="45" applyNumberFormat="1" applyFont="1" applyFill="1" applyBorder="1"/>
    <xf numFmtId="167" fontId="12" fillId="57" borderId="12" xfId="133" applyNumberFormat="1" applyFont="1" applyFill="1" applyBorder="1" applyAlignment="1" applyProtection="1">
      <alignment vertical="center"/>
      <protection locked="0"/>
    </xf>
    <xf numFmtId="0" fontId="7" fillId="0" borderId="44" xfId="0" applyFont="1" applyBorder="1" applyAlignment="1">
      <alignment wrapText="1"/>
    </xf>
    <xf numFmtId="41" fontId="45" fillId="41" borderId="21" xfId="0" applyNumberFormat="1" applyFont="1" applyFill="1" applyBorder="1" applyProtection="1">
      <protection locked="0"/>
    </xf>
    <xf numFmtId="41" fontId="45" fillId="37" borderId="21" xfId="0" applyNumberFormat="1" applyFont="1" applyFill="1" applyBorder="1"/>
    <xf numFmtId="41" fontId="45" fillId="41" borderId="12" xfId="0" applyNumberFormat="1" applyFont="1" applyFill="1" applyBorder="1" applyProtection="1">
      <protection locked="0"/>
    </xf>
    <xf numFmtId="41" fontId="45" fillId="37" borderId="12" xfId="0" applyNumberFormat="1" applyFont="1" applyFill="1" applyBorder="1"/>
    <xf numFmtId="0" fontId="12" fillId="0" borderId="12" xfId="0" applyFont="1" applyBorder="1" applyAlignment="1">
      <alignment wrapText="1"/>
    </xf>
    <xf numFmtId="0" fontId="12" fillId="0" borderId="21" xfId="0" applyFont="1" applyBorder="1" applyAlignment="1">
      <alignment horizontal="center"/>
    </xf>
    <xf numFmtId="0" fontId="12" fillId="0" borderId="21" xfId="118" applyFont="1" applyBorder="1" applyAlignment="1">
      <alignment horizontal="left"/>
    </xf>
    <xf numFmtId="0" fontId="12" fillId="0" borderId="12" xfId="0" applyFont="1" applyBorder="1" applyAlignment="1">
      <alignment horizontal="center"/>
    </xf>
    <xf numFmtId="0" fontId="12" fillId="0" borderId="12" xfId="118" applyFont="1" applyBorder="1" applyAlignment="1">
      <alignment horizontal="left"/>
    </xf>
    <xf numFmtId="0" fontId="12" fillId="0" borderId="12" xfId="122" applyBorder="1" applyAlignment="1">
      <alignment horizontal="center"/>
    </xf>
    <xf numFmtId="0" fontId="12" fillId="0" borderId="0" xfId="0" applyFont="1" applyAlignment="1">
      <alignment horizontal="left" vertical="center"/>
    </xf>
    <xf numFmtId="0" fontId="12" fillId="0" borderId="0" xfId="122" applyAlignment="1">
      <alignment horizontal="center"/>
    </xf>
    <xf numFmtId="49" fontId="12" fillId="0" borderId="105" xfId="78" applyNumberFormat="1" applyFont="1" applyBorder="1"/>
    <xf numFmtId="44" fontId="12" fillId="37" borderId="16" xfId="41" applyFont="1" applyFill="1" applyBorder="1" applyAlignment="1" applyProtection="1"/>
    <xf numFmtId="44" fontId="12" fillId="37" borderId="14" xfId="41" applyFont="1" applyFill="1" applyBorder="1" applyAlignment="1" applyProtection="1"/>
    <xf numFmtId="44" fontId="12" fillId="37" borderId="17" xfId="41" applyFont="1" applyFill="1" applyBorder="1" applyAlignment="1" applyProtection="1"/>
    <xf numFmtId="41" fontId="12" fillId="37" borderId="16" xfId="35" applyNumberFormat="1" applyFont="1" applyFill="1" applyBorder="1" applyAlignment="1" applyProtection="1"/>
    <xf numFmtId="0" fontId="14" fillId="34" borderId="24" xfId="0" applyFont="1" applyFill="1" applyBorder="1" applyAlignment="1">
      <alignment horizontal="center" vertical="center" wrapText="1"/>
    </xf>
    <xf numFmtId="0" fontId="14" fillId="34" borderId="42" xfId="0" applyFont="1" applyFill="1" applyBorder="1" applyAlignment="1">
      <alignment horizontal="center" vertical="center" wrapText="1"/>
    </xf>
    <xf numFmtId="0" fontId="14" fillId="34" borderId="67" xfId="0" applyFont="1" applyFill="1" applyBorder="1" applyAlignment="1">
      <alignment horizontal="center" vertical="center" wrapText="1"/>
    </xf>
    <xf numFmtId="0" fontId="14" fillId="34" borderId="4" xfId="0" applyFont="1" applyFill="1" applyBorder="1" applyAlignment="1">
      <alignment horizontal="center" vertical="center" wrapText="1"/>
    </xf>
    <xf numFmtId="0" fontId="14" fillId="34" borderId="12" xfId="0" applyFont="1" applyFill="1" applyBorder="1" applyAlignment="1">
      <alignment horizontal="center" vertical="center" wrapText="1"/>
    </xf>
    <xf numFmtId="44" fontId="14" fillId="37" borderId="12" xfId="40" applyFont="1" applyFill="1" applyBorder="1" applyAlignment="1" applyProtection="1">
      <protection locked="0"/>
    </xf>
    <xf numFmtId="0" fontId="14" fillId="34" borderId="12" xfId="122" applyFont="1" applyFill="1" applyBorder="1" applyAlignment="1">
      <alignment horizontal="center" vertical="center" wrapText="1"/>
    </xf>
    <xf numFmtId="0" fontId="67" fillId="34" borderId="12" xfId="0" applyFont="1" applyFill="1" applyBorder="1" applyAlignment="1">
      <alignment horizontal="centerContinuous" vertical="center"/>
    </xf>
    <xf numFmtId="0" fontId="14" fillId="34" borderId="12" xfId="115" quotePrefix="1" applyFont="1" applyFill="1" applyBorder="1" applyAlignment="1">
      <alignment horizontal="centerContinuous" vertical="center" wrapText="1"/>
    </xf>
    <xf numFmtId="0" fontId="14" fillId="34" borderId="25" xfId="0" applyFont="1" applyFill="1" applyBorder="1" applyAlignment="1">
      <alignment horizontal="centerContinuous" vertical="center"/>
    </xf>
    <xf numFmtId="0" fontId="14" fillId="34" borderId="25" xfId="0" applyFont="1" applyFill="1" applyBorder="1" applyAlignment="1">
      <alignment horizontal="centerContinuous" vertical="center" wrapText="1"/>
    </xf>
    <xf numFmtId="167" fontId="12" fillId="42" borderId="12" xfId="40" applyNumberFormat="1" applyFont="1" applyFill="1" applyBorder="1" applyProtection="1">
      <protection locked="0"/>
    </xf>
    <xf numFmtId="167" fontId="12" fillId="24" borderId="12" xfId="40" applyNumberFormat="1" applyFont="1" applyFill="1" applyBorder="1" applyProtection="1"/>
    <xf numFmtId="43" fontId="12" fillId="42" borderId="18" xfId="34" applyFont="1" applyFill="1" applyBorder="1" applyProtection="1">
      <protection locked="0"/>
    </xf>
    <xf numFmtId="0" fontId="12" fillId="0" borderId="0" xfId="0" applyFont="1" applyAlignment="1">
      <alignment horizontal="left" wrapText="1"/>
    </xf>
    <xf numFmtId="0" fontId="6" fillId="0" borderId="42" xfId="0" applyFont="1" applyBorder="1" applyAlignment="1">
      <alignment wrapText="1"/>
    </xf>
    <xf numFmtId="0" fontId="45" fillId="34" borderId="36" xfId="122" applyFont="1" applyFill="1" applyBorder="1"/>
    <xf numFmtId="0" fontId="67" fillId="0" borderId="33" xfId="122" applyFont="1" applyBorder="1"/>
    <xf numFmtId="0" fontId="45" fillId="33" borderId="12" xfId="118" applyFont="1" applyFill="1" applyBorder="1" applyAlignment="1">
      <alignment horizontal="left"/>
    </xf>
    <xf numFmtId="0" fontId="67" fillId="34" borderId="19" xfId="122" applyFont="1" applyFill="1" applyBorder="1" applyAlignment="1">
      <alignment horizontal="centerContinuous" vertical="center"/>
    </xf>
    <xf numFmtId="167" fontId="45" fillId="0" borderId="0" xfId="40" applyNumberFormat="1" applyFont="1" applyFill="1" applyBorder="1" applyAlignment="1" applyProtection="1"/>
    <xf numFmtId="0" fontId="5" fillId="0" borderId="21" xfId="0" applyFont="1" applyBorder="1" applyAlignment="1">
      <alignment horizontal="center"/>
    </xf>
    <xf numFmtId="0" fontId="5" fillId="0" borderId="21" xfId="118" applyFont="1" applyBorder="1" applyAlignment="1">
      <alignment horizontal="left"/>
    </xf>
    <xf numFmtId="0" fontId="5" fillId="0" borderId="12" xfId="0" applyFont="1" applyBorder="1" applyAlignment="1">
      <alignment wrapText="1"/>
    </xf>
    <xf numFmtId="0" fontId="5" fillId="0" borderId="12" xfId="0" applyFont="1" applyBorder="1" applyAlignment="1">
      <alignment wrapText="1" shrinkToFit="1"/>
    </xf>
    <xf numFmtId="0" fontId="5" fillId="0" borderId="0" xfId="0" applyFont="1" applyAlignment="1">
      <alignment horizontal="left" indent="2"/>
    </xf>
    <xf numFmtId="164" fontId="5" fillId="0" borderId="12" xfId="0" applyNumberFormat="1" applyFont="1" applyBorder="1" applyAlignment="1">
      <alignment horizontal="center"/>
    </xf>
    <xf numFmtId="0" fontId="5" fillId="0" borderId="0" xfId="0" applyFont="1"/>
    <xf numFmtId="164" fontId="5" fillId="0" borderId="41" xfId="0" applyNumberFormat="1" applyFont="1" applyBorder="1" applyAlignment="1">
      <alignment horizontal="center"/>
    </xf>
    <xf numFmtId="0" fontId="5" fillId="0" borderId="12" xfId="0" applyFont="1" applyBorder="1"/>
    <xf numFmtId="0" fontId="5" fillId="0" borderId="42" xfId="0" applyFont="1" applyBorder="1" applyAlignment="1">
      <alignment horizontal="left" wrapText="1"/>
    </xf>
    <xf numFmtId="0" fontId="5" fillId="0" borderId="12" xfId="122" applyFont="1" applyBorder="1" applyAlignment="1">
      <alignment horizontal="center"/>
    </xf>
    <xf numFmtId="0" fontId="5" fillId="0" borderId="21" xfId="122" applyFont="1" applyBorder="1" applyAlignment="1">
      <alignment horizontal="center"/>
    </xf>
    <xf numFmtId="0" fontId="63" fillId="34" borderId="12" xfId="122" applyFont="1" applyFill="1" applyBorder="1" applyAlignment="1">
      <alignment horizontal="center" vertical="center" wrapText="1"/>
    </xf>
    <xf numFmtId="167" fontId="5" fillId="24" borderId="21" xfId="40" applyNumberFormat="1" applyFont="1" applyFill="1" applyBorder="1" applyAlignment="1" applyProtection="1"/>
    <xf numFmtId="167" fontId="5" fillId="37" borderId="12" xfId="122" applyNumberFormat="1" applyFont="1" applyFill="1" applyBorder="1"/>
    <xf numFmtId="0" fontId="5" fillId="38" borderId="25" xfId="122" applyFont="1" applyFill="1" applyBorder="1"/>
    <xf numFmtId="0" fontId="5" fillId="38" borderId="21" xfId="122" applyFont="1" applyFill="1" applyBorder="1"/>
    <xf numFmtId="0" fontId="5" fillId="0" borderId="12" xfId="118" applyFont="1" applyBorder="1" applyAlignment="1">
      <alignment horizontal="left"/>
    </xf>
    <xf numFmtId="0" fontId="5" fillId="0" borderId="0" xfId="0" applyFont="1" applyAlignment="1" applyProtection="1">
      <alignment vertical="center"/>
      <protection locked="0"/>
    </xf>
    <xf numFmtId="0" fontId="14" fillId="34" borderId="75" xfId="0" applyFont="1" applyFill="1" applyBorder="1" applyAlignment="1">
      <alignment wrapText="1"/>
    </xf>
    <xf numFmtId="0" fontId="60" fillId="34" borderId="107" xfId="0" applyFont="1" applyFill="1" applyBorder="1" applyAlignment="1">
      <alignment wrapText="1"/>
    </xf>
    <xf numFmtId="0" fontId="4" fillId="0" borderId="21" xfId="118" applyFont="1" applyBorder="1" applyAlignment="1">
      <alignment horizontal="left"/>
    </xf>
    <xf numFmtId="167" fontId="12" fillId="39" borderId="21" xfId="40" applyNumberFormat="1" applyFont="1" applyFill="1" applyBorder="1" applyAlignment="1" applyProtection="1">
      <protection locked="0"/>
    </xf>
    <xf numFmtId="0" fontId="66" fillId="0" borderId="132" xfId="0" applyFont="1" applyBorder="1" applyAlignment="1">
      <alignment horizontal="center"/>
    </xf>
    <xf numFmtId="0" fontId="64" fillId="37" borderId="24" xfId="0" applyFont="1" applyFill="1" applyBorder="1" applyAlignment="1">
      <alignment horizontal="center"/>
    </xf>
    <xf numFmtId="14" fontId="64" fillId="37" borderId="133" xfId="0" applyNumberFormat="1" applyFont="1" applyFill="1" applyBorder="1" applyAlignment="1">
      <alignment horizontal="center" vertical="center" wrapText="1"/>
    </xf>
    <xf numFmtId="0" fontId="64" fillId="37" borderId="4" xfId="0" applyFont="1" applyFill="1" applyBorder="1" applyAlignment="1">
      <alignment horizontal="center"/>
    </xf>
    <xf numFmtId="14" fontId="64" fillId="37" borderId="134" xfId="0" applyNumberFormat="1" applyFont="1" applyFill="1" applyBorder="1" applyAlignment="1">
      <alignment horizontal="center" vertical="center" wrapText="1"/>
    </xf>
    <xf numFmtId="166" fontId="12" fillId="37" borderId="12" xfId="40" applyNumberFormat="1" applyFont="1" applyFill="1" applyBorder="1" applyAlignment="1"/>
    <xf numFmtId="166" fontId="12" fillId="34" borderId="12" xfId="40" applyNumberFormat="1" applyFont="1" applyFill="1" applyBorder="1" applyAlignment="1"/>
    <xf numFmtId="166" fontId="12" fillId="37" borderId="19" xfId="40" applyNumberFormat="1" applyFont="1" applyFill="1" applyBorder="1" applyAlignment="1"/>
    <xf numFmtId="166" fontId="12" fillId="37" borderId="42" xfId="40" applyNumberFormat="1" applyFont="1" applyFill="1" applyBorder="1" applyAlignment="1"/>
    <xf numFmtId="166" fontId="12" fillId="0" borderId="12" xfId="0" applyNumberFormat="1" applyFont="1" applyBorder="1" applyAlignment="1">
      <alignment horizontal="center"/>
    </xf>
    <xf numFmtId="166" fontId="12" fillId="37" borderId="12" xfId="40" applyNumberFormat="1" applyFont="1" applyFill="1" applyBorder="1" applyAlignment="1" applyProtection="1"/>
    <xf numFmtId="166" fontId="12" fillId="37" borderId="41" xfId="40" applyNumberFormat="1" applyFont="1" applyFill="1" applyBorder="1" applyAlignment="1" applyProtection="1"/>
    <xf numFmtId="166" fontId="12" fillId="24" borderId="41" xfId="40" applyNumberFormat="1" applyFont="1" applyFill="1" applyBorder="1" applyAlignment="1" applyProtection="1"/>
    <xf numFmtId="0" fontId="14" fillId="0" borderId="21" xfId="83" applyFont="1" applyBorder="1" applyAlignment="1">
      <alignment horizontal="centerContinuous" vertical="center"/>
    </xf>
    <xf numFmtId="0" fontId="14" fillId="33" borderId="24" xfId="83" applyFont="1" applyFill="1" applyBorder="1" applyAlignment="1">
      <alignment horizontal="center" vertical="center"/>
    </xf>
    <xf numFmtId="0" fontId="14" fillId="33" borderId="4" xfId="83" applyFont="1" applyFill="1" applyBorder="1" applyAlignment="1">
      <alignment horizontal="center" vertical="center"/>
    </xf>
    <xf numFmtId="0" fontId="14" fillId="33" borderId="19" xfId="83" applyFont="1" applyFill="1" applyBorder="1" applyAlignment="1">
      <alignment horizontal="center" vertical="center"/>
    </xf>
    <xf numFmtId="0" fontId="12" fillId="0" borderId="114" xfId="0" applyFont="1" applyBorder="1" applyAlignment="1">
      <alignment horizontal="center" vertical="center" wrapText="1"/>
    </xf>
    <xf numFmtId="0" fontId="45" fillId="0" borderId="12" xfId="653" applyFont="1" applyBorder="1" applyAlignment="1">
      <alignment wrapText="1"/>
    </xf>
    <xf numFmtId="0" fontId="12" fillId="0" borderId="40" xfId="0" applyFont="1" applyBorder="1" applyAlignment="1">
      <alignment horizontal="left" wrapText="1"/>
    </xf>
    <xf numFmtId="0" fontId="14" fillId="0" borderId="88" xfId="0" applyFont="1" applyBorder="1" applyAlignment="1">
      <alignment horizontal="center" vertical="center" wrapText="1"/>
    </xf>
    <xf numFmtId="0" fontId="3" fillId="0" borderId="42" xfId="0" applyFont="1" applyBorder="1" applyAlignment="1">
      <alignment wrapText="1"/>
    </xf>
    <xf numFmtId="0" fontId="12" fillId="0" borderId="109" xfId="0" applyFont="1" applyBorder="1" applyAlignment="1">
      <alignment vertical="center" wrapText="1"/>
    </xf>
    <xf numFmtId="0" fontId="12" fillId="0" borderId="75" xfId="0" applyFont="1" applyBorder="1" applyAlignment="1">
      <alignment vertical="top" wrapText="1"/>
    </xf>
    <xf numFmtId="0" fontId="12" fillId="0" borderId="135" xfId="0" applyFont="1" applyBorder="1" applyAlignment="1">
      <alignment vertical="center" wrapText="1"/>
    </xf>
    <xf numFmtId="0" fontId="34" fillId="0" borderId="21" xfId="0" applyFont="1" applyBorder="1" applyAlignment="1">
      <alignment vertical="top" wrapText="1"/>
    </xf>
    <xf numFmtId="0" fontId="127" fillId="0" borderId="114" xfId="140" applyFont="1" applyBorder="1" applyAlignment="1">
      <alignment vertical="top" wrapText="1"/>
    </xf>
    <xf numFmtId="0" fontId="127" fillId="0" borderId="114" xfId="0" applyFont="1" applyBorder="1" applyAlignment="1">
      <alignment vertical="top" wrapText="1"/>
    </xf>
    <xf numFmtId="0" fontId="127" fillId="0" borderId="71" xfId="0" applyFont="1" applyBorder="1" applyAlignment="1">
      <alignment vertical="top" wrapText="1"/>
    </xf>
    <xf numFmtId="0" fontId="127" fillId="0" borderId="78" xfId="0" applyFont="1" applyBorder="1" applyAlignment="1">
      <alignment vertical="top" wrapText="1"/>
    </xf>
    <xf numFmtId="0" fontId="12" fillId="0" borderId="109" xfId="0" applyFont="1" applyBorder="1" applyAlignment="1">
      <alignment vertical="top" wrapText="1"/>
    </xf>
    <xf numFmtId="0" fontId="12" fillId="0" borderId="114" xfId="0" applyFont="1" applyBorder="1" applyAlignment="1">
      <alignment vertical="top"/>
    </xf>
    <xf numFmtId="0" fontId="127" fillId="0" borderId="114" xfId="140" applyFont="1" applyBorder="1" applyAlignment="1">
      <alignment horizontal="left" vertical="top" wrapText="1"/>
    </xf>
    <xf numFmtId="0" fontId="127" fillId="0" borderId="78" xfId="140" applyFont="1" applyBorder="1" applyAlignment="1">
      <alignment vertical="top" wrapText="1"/>
    </xf>
    <xf numFmtId="0" fontId="12" fillId="0" borderId="114" xfId="0" applyFont="1" applyBorder="1" applyAlignment="1">
      <alignment vertical="top" wrapText="1"/>
    </xf>
    <xf numFmtId="0" fontId="45" fillId="34" borderId="25" xfId="362" applyFont="1" applyFill="1" applyBorder="1"/>
    <xf numFmtId="0" fontId="14" fillId="34" borderId="14" xfId="117" applyFont="1" applyFill="1" applyBorder="1" applyAlignment="1">
      <alignment horizontal="center" vertical="center" wrapText="1"/>
    </xf>
    <xf numFmtId="0" fontId="67" fillId="34" borderId="16" xfId="362" applyFont="1" applyFill="1" applyBorder="1" applyAlignment="1">
      <alignment vertical="center" wrapText="1"/>
    </xf>
    <xf numFmtId="0" fontId="2" fillId="0" borderId="0" xfId="362" applyFont="1"/>
    <xf numFmtId="0" fontId="67" fillId="34" borderId="16" xfId="362" applyFont="1" applyFill="1" applyBorder="1"/>
    <xf numFmtId="0" fontId="45" fillId="34" borderId="16" xfId="362" applyFont="1" applyFill="1" applyBorder="1" applyAlignment="1">
      <alignment wrapText="1"/>
    </xf>
    <xf numFmtId="0" fontId="45" fillId="0" borderId="36" xfId="362" applyFont="1" applyBorder="1" applyAlignment="1">
      <alignment horizontal="center"/>
    </xf>
    <xf numFmtId="14" fontId="45" fillId="0" borderId="48" xfId="118" applyNumberFormat="1" applyFont="1" applyBorder="1" applyAlignment="1">
      <alignment horizontal="left"/>
    </xf>
    <xf numFmtId="0" fontId="2" fillId="0" borderId="14" xfId="362" applyFont="1" applyBorder="1"/>
    <xf numFmtId="0" fontId="45" fillId="0" borderId="25" xfId="362" applyFont="1" applyBorder="1" applyAlignment="1">
      <alignment wrapText="1"/>
    </xf>
    <xf numFmtId="0" fontId="2" fillId="0" borderId="16" xfId="362" applyFont="1" applyBorder="1"/>
    <xf numFmtId="0" fontId="2" fillId="0" borderId="16" xfId="362" applyFont="1" applyBorder="1" applyAlignment="1">
      <alignment wrapText="1"/>
    </xf>
    <xf numFmtId="0" fontId="2" fillId="0" borderId="21" xfId="362" applyFont="1" applyBorder="1"/>
    <xf numFmtId="0" fontId="45" fillId="0" borderId="25" xfId="118" applyFont="1" applyBorder="1" applyAlignment="1">
      <alignment horizontal="left"/>
    </xf>
    <xf numFmtId="0" fontId="1" fillId="37" borderId="12" xfId="0" applyFont="1" applyFill="1" applyBorder="1" applyAlignment="1">
      <alignment horizontal="center" vertical="center" wrapText="1"/>
    </xf>
    <xf numFmtId="0" fontId="1" fillId="37" borderId="4" xfId="0" applyFont="1" applyFill="1" applyBorder="1" applyAlignment="1">
      <alignment horizontal="center" vertical="center" wrapText="1"/>
    </xf>
    <xf numFmtId="0" fontId="1" fillId="37" borderId="24" xfId="0" applyFont="1" applyFill="1" applyBorder="1" applyAlignment="1">
      <alignment horizontal="center" vertical="center" wrapText="1"/>
    </xf>
    <xf numFmtId="0" fontId="1" fillId="37" borderId="42" xfId="0" applyFont="1" applyFill="1" applyBorder="1" applyAlignment="1">
      <alignment horizontal="center" vertical="center" wrapText="1"/>
    </xf>
    <xf numFmtId="0" fontId="1" fillId="0" borderId="21" xfId="118" applyFont="1" applyBorder="1" applyAlignment="1">
      <alignment horizontal="left"/>
    </xf>
    <xf numFmtId="0" fontId="12" fillId="0" borderId="135" xfId="653" applyFont="1" applyBorder="1" applyAlignment="1">
      <alignment vertical="center" wrapText="1"/>
    </xf>
    <xf numFmtId="0" fontId="45" fillId="0" borderId="114" xfId="118" applyFont="1" applyBorder="1" applyAlignment="1">
      <alignment horizontal="left" vertical="center"/>
    </xf>
    <xf numFmtId="0" fontId="1" fillId="0" borderId="21" xfId="362" applyFont="1" applyBorder="1"/>
    <xf numFmtId="0" fontId="2" fillId="0" borderId="27" xfId="362" applyFont="1" applyBorder="1" applyAlignment="1">
      <alignment horizontal="center"/>
    </xf>
    <xf numFmtId="0" fontId="1" fillId="0" borderId="16" xfId="362" applyFont="1" applyBorder="1"/>
    <xf numFmtId="0" fontId="1" fillId="0" borderId="25" xfId="362" applyFont="1" applyBorder="1"/>
    <xf numFmtId="0" fontId="1" fillId="0" borderId="90" xfId="362" applyFont="1" applyBorder="1"/>
    <xf numFmtId="0" fontId="1" fillId="0" borderId="52" xfId="362" applyFont="1" applyBorder="1" applyAlignment="1">
      <alignment wrapText="1"/>
    </xf>
    <xf numFmtId="14" fontId="2" fillId="0" borderId="25" xfId="362" applyNumberFormat="1" applyFont="1" applyBorder="1" applyAlignment="1">
      <alignment horizontal="left"/>
    </xf>
    <xf numFmtId="0" fontId="1" fillId="0" borderId="92" xfId="362" applyFont="1" applyBorder="1" applyAlignment="1">
      <alignment wrapText="1"/>
    </xf>
    <xf numFmtId="167" fontId="14" fillId="0" borderId="0" xfId="83" applyNumberFormat="1" applyFont="1" applyAlignment="1" applyProtection="1">
      <alignment vertical="center"/>
      <protection locked="0"/>
    </xf>
    <xf numFmtId="43" fontId="12" fillId="0" borderId="0" xfId="34" applyFont="1" applyProtection="1">
      <protection locked="0"/>
    </xf>
    <xf numFmtId="6" fontId="14" fillId="0" borderId="0" xfId="0" applyNumberFormat="1" applyFont="1" applyProtection="1">
      <protection locked="0"/>
    </xf>
    <xf numFmtId="6" fontId="12" fillId="0" borderId="0" xfId="0" applyNumberFormat="1" applyFont="1" applyProtection="1">
      <protection locked="0"/>
    </xf>
    <xf numFmtId="49" fontId="12" fillId="39" borderId="12" xfId="40" applyNumberFormat="1" applyFill="1" applyBorder="1" applyAlignment="1" applyProtection="1">
      <alignment vertical="top" wrapText="1"/>
      <protection locked="0"/>
    </xf>
    <xf numFmtId="43" fontId="12" fillId="0" borderId="0" xfId="0" applyNumberFormat="1" applyFont="1" applyProtection="1">
      <protection locked="0"/>
    </xf>
    <xf numFmtId="167" fontId="14" fillId="0" borderId="0" xfId="0" applyNumberFormat="1" applyFont="1" applyProtection="1">
      <protection locked="0"/>
    </xf>
    <xf numFmtId="167" fontId="12" fillId="0" borderId="0" xfId="40" applyNumberFormat="1" applyProtection="1">
      <protection locked="0"/>
    </xf>
    <xf numFmtId="167" fontId="45" fillId="0" borderId="0" xfId="122" applyNumberFormat="1" applyFont="1" applyProtection="1">
      <protection locked="0"/>
    </xf>
    <xf numFmtId="167" fontId="12" fillId="0" borderId="0" xfId="0" applyNumberFormat="1" applyFont="1" applyAlignment="1">
      <alignment vertical="center"/>
    </xf>
    <xf numFmtId="166" fontId="12" fillId="0" borderId="0" xfId="34" applyNumberFormat="1" applyProtection="1">
      <protection locked="0"/>
    </xf>
    <xf numFmtId="166" fontId="14" fillId="0" borderId="0" xfId="34" applyNumberFormat="1" applyFont="1" applyAlignment="1" applyProtection="1">
      <alignment vertical="center"/>
      <protection locked="0"/>
    </xf>
    <xf numFmtId="0" fontId="12" fillId="37" borderId="136" xfId="0" applyFont="1" applyFill="1" applyBorder="1" applyProtection="1">
      <protection locked="0"/>
    </xf>
    <xf numFmtId="0" fontId="75" fillId="37" borderId="26" xfId="0" quotePrefix="1" applyFont="1" applyFill="1" applyBorder="1" applyProtection="1">
      <protection locked="0"/>
    </xf>
    <xf numFmtId="0" fontId="12" fillId="0" borderId="0" xfId="651" applyAlignment="1">
      <alignment horizontal="center" wrapText="1"/>
    </xf>
    <xf numFmtId="0" fontId="63" fillId="37" borderId="15" xfId="0" applyFont="1" applyFill="1" applyBorder="1" applyAlignment="1">
      <alignment horizontal="center" vertical="center"/>
    </xf>
    <xf numFmtId="0" fontId="63" fillId="37" borderId="97" xfId="0" applyFont="1" applyFill="1" applyBorder="1" applyAlignment="1">
      <alignment horizontal="center" vertical="center"/>
    </xf>
    <xf numFmtId="0" fontId="12" fillId="37" borderId="87" xfId="0" applyFont="1" applyFill="1" applyBorder="1" applyAlignment="1">
      <alignment horizontal="left" wrapText="1"/>
    </xf>
    <xf numFmtId="0" fontId="12" fillId="37" borderId="88" xfId="0" applyFont="1" applyFill="1" applyBorder="1" applyAlignment="1">
      <alignment horizontal="left" wrapText="1"/>
    </xf>
    <xf numFmtId="0" fontId="63" fillId="37" borderId="84" xfId="0" applyFont="1" applyFill="1" applyBorder="1" applyAlignment="1">
      <alignment horizontal="center" vertical="center"/>
    </xf>
    <xf numFmtId="0" fontId="63" fillId="37" borderId="85" xfId="0" applyFont="1" applyFill="1" applyBorder="1" applyAlignment="1">
      <alignment horizontal="center" vertical="center"/>
    </xf>
    <xf numFmtId="0" fontId="63" fillId="37" borderId="21" xfId="0" applyFont="1" applyFill="1" applyBorder="1" applyAlignment="1">
      <alignment horizontal="center" vertical="center"/>
    </xf>
    <xf numFmtId="0" fontId="63" fillId="37" borderId="25" xfId="0" applyFont="1" applyFill="1" applyBorder="1" applyAlignment="1">
      <alignment horizontal="center" vertical="center"/>
    </xf>
    <xf numFmtId="0" fontId="12" fillId="37" borderId="94" xfId="0" applyFont="1" applyFill="1" applyBorder="1" applyAlignment="1">
      <alignment horizontal="left" wrapText="1"/>
    </xf>
    <xf numFmtId="0" fontId="63" fillId="37" borderId="16" xfId="0" applyFont="1" applyFill="1" applyBorder="1" applyAlignment="1">
      <alignment horizontal="center" vertical="center"/>
    </xf>
    <xf numFmtId="0" fontId="63" fillId="37" borderId="98" xfId="0" applyFont="1" applyFill="1" applyBorder="1" applyAlignment="1">
      <alignment horizontal="center" vertical="center"/>
    </xf>
    <xf numFmtId="0" fontId="12" fillId="37" borderId="38" xfId="0" applyFont="1" applyFill="1" applyBorder="1" applyAlignment="1">
      <alignment horizontal="left" vertical="center" wrapText="1"/>
    </xf>
    <xf numFmtId="0" fontId="12" fillId="37" borderId="99" xfId="0" applyFont="1" applyFill="1" applyBorder="1" applyAlignment="1">
      <alignment horizontal="left" vertical="center" wrapText="1"/>
    </xf>
    <xf numFmtId="0" fontId="12" fillId="37" borderId="95" xfId="0" applyFont="1" applyFill="1" applyBorder="1" applyAlignment="1">
      <alignment horizontal="left" wrapText="1"/>
    </xf>
    <xf numFmtId="0" fontId="12" fillId="37" borderId="87" xfId="0" applyFont="1" applyFill="1" applyBorder="1" applyAlignment="1">
      <alignment horizontal="left" vertical="center" wrapText="1"/>
    </xf>
    <xf numFmtId="0" fontId="12" fillId="37" borderId="93" xfId="0" applyFont="1" applyFill="1" applyBorder="1" applyAlignment="1">
      <alignment horizontal="left" vertical="center" wrapText="1"/>
    </xf>
    <xf numFmtId="0" fontId="12" fillId="37" borderId="135" xfId="0" applyFont="1" applyFill="1" applyBorder="1" applyAlignment="1">
      <alignment horizontal="left" vertical="center" wrapText="1"/>
    </xf>
    <xf numFmtId="0" fontId="63" fillId="37" borderId="37" xfId="0" applyFont="1" applyFill="1" applyBorder="1" applyAlignment="1">
      <alignment horizontal="center" vertical="center"/>
    </xf>
    <xf numFmtId="0" fontId="12" fillId="37" borderId="95" xfId="0" applyFont="1" applyFill="1" applyBorder="1" applyAlignment="1">
      <alignment horizontal="left" vertical="center" wrapText="1"/>
    </xf>
    <xf numFmtId="0" fontId="73" fillId="0" borderId="0" xfId="0" applyFont="1" applyAlignment="1">
      <alignment horizontal="left" vertical="center" wrapText="1"/>
    </xf>
    <xf numFmtId="0" fontId="12" fillId="0" borderId="71" xfId="0" applyFont="1" applyBorder="1" applyAlignment="1">
      <alignment horizontal="center" vertical="center" wrapText="1"/>
    </xf>
    <xf numFmtId="0" fontId="12" fillId="0" borderId="131" xfId="0" applyFont="1" applyBorder="1" applyAlignment="1">
      <alignment horizontal="center" vertical="center" wrapText="1"/>
    </xf>
    <xf numFmtId="0" fontId="12" fillId="0" borderId="71" xfId="0" applyFont="1" applyBorder="1" applyAlignment="1">
      <alignment vertical="center" wrapText="1"/>
    </xf>
    <xf numFmtId="0" fontId="12" fillId="0" borderId="131" xfId="0" applyFont="1" applyBorder="1" applyAlignment="1">
      <alignment vertical="center" wrapText="1"/>
    </xf>
    <xf numFmtId="0" fontId="12" fillId="0" borderId="71" xfId="0" applyFont="1" applyBorder="1" applyAlignment="1">
      <alignment vertical="center"/>
    </xf>
    <xf numFmtId="0" fontId="12" fillId="0" borderId="131" xfId="0" applyFont="1" applyBorder="1" applyAlignment="1">
      <alignment vertical="center"/>
    </xf>
    <xf numFmtId="0" fontId="14" fillId="0" borderId="78" xfId="0" applyFont="1" applyBorder="1" applyAlignment="1">
      <alignment vertical="center"/>
    </xf>
    <xf numFmtId="0" fontId="14" fillId="0" borderId="127" xfId="0" applyFont="1" applyBorder="1" applyAlignment="1">
      <alignment vertical="center"/>
    </xf>
    <xf numFmtId="0" fontId="14" fillId="0" borderId="109" xfId="0" applyFont="1" applyBorder="1" applyAlignment="1">
      <alignment vertical="center"/>
    </xf>
    <xf numFmtId="0" fontId="73" fillId="0" borderId="0" xfId="0" applyFont="1" applyAlignment="1">
      <alignment horizontal="left" vertical="top" wrapText="1"/>
    </xf>
    <xf numFmtId="0" fontId="14" fillId="0" borderId="100" xfId="0" applyFont="1" applyBorder="1" applyAlignment="1">
      <alignment vertical="center" wrapText="1"/>
    </xf>
    <xf numFmtId="0" fontId="14" fillId="0" borderId="86" xfId="0" applyFont="1" applyBorder="1" applyAlignment="1">
      <alignment vertical="center" wrapText="1"/>
    </xf>
    <xf numFmtId="0" fontId="14" fillId="0" borderId="87" xfId="0" applyFont="1" applyBorder="1" applyAlignment="1">
      <alignment vertical="center" wrapText="1"/>
    </xf>
    <xf numFmtId="0" fontId="14" fillId="0" borderId="89" xfId="0" applyFont="1" applyBorder="1" applyAlignment="1">
      <alignment vertical="center" wrapText="1"/>
    </xf>
    <xf numFmtId="0" fontId="14" fillId="0" borderId="26" xfId="0" applyFont="1" applyBorder="1" applyAlignment="1">
      <alignment vertical="center" wrapText="1"/>
    </xf>
    <xf numFmtId="0" fontId="14" fillId="0" borderId="88" xfId="0" applyFont="1" applyBorder="1" applyAlignment="1">
      <alignment vertical="center" wrapText="1"/>
    </xf>
    <xf numFmtId="0" fontId="12" fillId="0" borderId="106" xfId="0" applyFont="1" applyBorder="1" applyAlignment="1">
      <alignment horizontal="center" vertical="center" wrapText="1"/>
    </xf>
    <xf numFmtId="0" fontId="79" fillId="0" borderId="71" xfId="0" applyFont="1" applyBorder="1" applyAlignment="1">
      <alignment horizontal="center" vertical="center" wrapText="1"/>
    </xf>
    <xf numFmtId="0" fontId="79" fillId="0" borderId="106" xfId="0" applyFont="1" applyBorder="1" applyAlignment="1">
      <alignment horizontal="center" vertical="center" wrapText="1"/>
    </xf>
    <xf numFmtId="0" fontId="79" fillId="0" borderId="131" xfId="0" applyFont="1" applyBorder="1" applyAlignment="1">
      <alignment horizontal="center" vertical="center" wrapText="1"/>
    </xf>
    <xf numFmtId="0" fontId="118" fillId="0" borderId="26" xfId="0" applyFont="1" applyBorder="1" applyAlignment="1">
      <alignment horizontal="left" vertical="top" wrapText="1"/>
    </xf>
    <xf numFmtId="0" fontId="34" fillId="0" borderId="71" xfId="0" applyFont="1" applyBorder="1" applyAlignment="1">
      <alignment vertical="top" wrapText="1"/>
    </xf>
    <xf numFmtId="0" fontId="34" fillId="0" borderId="106" xfId="0" applyFont="1" applyBorder="1" applyAlignment="1">
      <alignment vertical="top" wrapText="1"/>
    </xf>
    <xf numFmtId="0" fontId="34" fillId="0" borderId="131" xfId="0" applyFont="1" applyBorder="1" applyAlignment="1">
      <alignment vertical="top" wrapText="1"/>
    </xf>
    <xf numFmtId="0" fontId="12" fillId="0" borderId="100" xfId="0" applyFont="1" applyBorder="1" applyAlignment="1">
      <alignment horizontal="center" vertical="center" wrapText="1"/>
    </xf>
    <xf numFmtId="0" fontId="12" fillId="0" borderId="105" xfId="0" applyFont="1" applyBorder="1" applyAlignment="1">
      <alignment horizontal="center" vertical="center" wrapText="1"/>
    </xf>
    <xf numFmtId="0" fontId="12" fillId="0" borderId="89" xfId="0" applyFont="1" applyBorder="1" applyAlignment="1">
      <alignment horizontal="center" vertical="center" wrapText="1"/>
    </xf>
    <xf numFmtId="0" fontId="75" fillId="0" borderId="71" xfId="0" applyFont="1" applyBorder="1" applyAlignment="1">
      <alignment horizontal="center" vertical="top" wrapText="1"/>
    </xf>
    <xf numFmtId="0" fontId="124" fillId="0" borderId="106" xfId="0" applyFont="1" applyBorder="1" applyAlignment="1">
      <alignment horizontal="center" vertical="top" wrapText="1"/>
    </xf>
    <xf numFmtId="0" fontId="124" fillId="0" borderId="131" xfId="0" applyFont="1" applyBorder="1" applyAlignment="1">
      <alignment horizontal="center" vertical="top" wrapText="1"/>
    </xf>
    <xf numFmtId="0" fontId="14" fillId="36" borderId="24" xfId="0" applyFont="1" applyFill="1" applyBorder="1" applyAlignment="1">
      <alignment horizontal="center"/>
    </xf>
    <xf numFmtId="0" fontId="14" fillId="36" borderId="19" xfId="0" applyFont="1" applyFill="1" applyBorder="1" applyAlignment="1">
      <alignment horizontal="center"/>
    </xf>
    <xf numFmtId="0" fontId="14" fillId="0" borderId="0" xfId="83" applyFont="1" applyAlignment="1">
      <alignment horizontal="center" vertical="center"/>
    </xf>
    <xf numFmtId="0" fontId="14" fillId="0" borderId="33" xfId="83" applyFont="1" applyBorder="1" applyAlignment="1">
      <alignment horizontal="center" vertical="center"/>
    </xf>
    <xf numFmtId="49" fontId="14" fillId="42" borderId="24" xfId="83" applyNumberFormat="1" applyFont="1" applyFill="1" applyBorder="1" applyAlignment="1" applyProtection="1">
      <alignment horizontal="center" vertical="center"/>
      <protection locked="0"/>
    </xf>
    <xf numFmtId="49" fontId="14" fillId="42" borderId="4" xfId="83" applyNumberFormat="1" applyFont="1" applyFill="1" applyBorder="1" applyAlignment="1" applyProtection="1">
      <alignment horizontal="center" vertical="center"/>
      <protection locked="0"/>
    </xf>
    <xf numFmtId="49" fontId="14" fillId="42" borderId="19" xfId="83" applyNumberFormat="1" applyFont="1" applyFill="1" applyBorder="1" applyAlignment="1" applyProtection="1">
      <alignment horizontal="center" vertical="center"/>
      <protection locked="0"/>
    </xf>
    <xf numFmtId="14" fontId="14" fillId="42" borderId="24" xfId="83" applyNumberFormat="1" applyFont="1" applyFill="1" applyBorder="1" applyAlignment="1" applyProtection="1">
      <alignment horizontal="center" vertical="center"/>
      <protection locked="0"/>
    </xf>
    <xf numFmtId="14" fontId="14" fillId="42" borderId="4" xfId="83" applyNumberFormat="1" applyFont="1" applyFill="1" applyBorder="1" applyAlignment="1" applyProtection="1">
      <alignment horizontal="center" vertical="center"/>
      <protection locked="0"/>
    </xf>
    <xf numFmtId="14" fontId="14" fillId="42" borderId="19" xfId="83" applyNumberFormat="1" applyFont="1" applyFill="1" applyBorder="1" applyAlignment="1" applyProtection="1">
      <alignment horizontal="center" vertical="center"/>
      <protection locked="0"/>
    </xf>
    <xf numFmtId="0" fontId="14" fillId="42" borderId="24" xfId="83" applyFont="1" applyFill="1" applyBorder="1" applyAlignment="1" applyProtection="1">
      <alignment horizontal="center" vertical="center"/>
      <protection locked="0"/>
    </xf>
    <xf numFmtId="0" fontId="14" fillId="42" borderId="4" xfId="83" applyFont="1" applyFill="1" applyBorder="1" applyAlignment="1" applyProtection="1">
      <alignment horizontal="center" vertical="center"/>
      <protection locked="0"/>
    </xf>
    <xf numFmtId="0" fontId="14" fillId="42" borderId="19" xfId="83" applyFont="1" applyFill="1" applyBorder="1" applyAlignment="1" applyProtection="1">
      <alignment horizontal="center" vertical="center"/>
      <protection locked="0"/>
    </xf>
    <xf numFmtId="0" fontId="14" fillId="0" borderId="12" xfId="83" applyFont="1" applyBorder="1" applyAlignment="1">
      <alignment horizontal="center" vertical="center"/>
    </xf>
    <xf numFmtId="0" fontId="14" fillId="37" borderId="37" xfId="83" applyFont="1" applyFill="1" applyBorder="1" applyAlignment="1">
      <alignment horizontal="center" vertical="center" wrapText="1"/>
    </xf>
    <xf numFmtId="0" fontId="14" fillId="37" borderId="15" xfId="83" applyFont="1" applyFill="1" applyBorder="1" applyAlignment="1">
      <alignment horizontal="center" vertical="center" wrapText="1"/>
    </xf>
    <xf numFmtId="0" fontId="14" fillId="37" borderId="39" xfId="83" applyFont="1" applyFill="1" applyBorder="1" applyAlignment="1">
      <alignment horizontal="center" vertical="center" wrapText="1"/>
    </xf>
    <xf numFmtId="0" fontId="14" fillId="0" borderId="24" xfId="83" applyFont="1" applyBorder="1" applyAlignment="1">
      <alignment horizontal="center" vertical="center"/>
    </xf>
    <xf numFmtId="0" fontId="14" fillId="41" borderId="25" xfId="83" applyFont="1" applyFill="1" applyBorder="1" applyAlignment="1">
      <alignment horizontal="center" vertical="center" wrapText="1"/>
    </xf>
    <xf numFmtId="0" fontId="14" fillId="41" borderId="16" xfId="83" applyFont="1" applyFill="1" applyBorder="1" applyAlignment="1">
      <alignment horizontal="center" vertical="center" wrapText="1"/>
    </xf>
    <xf numFmtId="0" fontId="14" fillId="41" borderId="21" xfId="83" applyFont="1" applyFill="1" applyBorder="1" applyAlignment="1">
      <alignment horizontal="center" vertical="center" wrapText="1"/>
    </xf>
    <xf numFmtId="0" fontId="14" fillId="0" borderId="0" xfId="83" applyFont="1" applyAlignment="1" applyProtection="1">
      <alignment horizontal="center" vertical="center"/>
      <protection locked="0"/>
    </xf>
    <xf numFmtId="0" fontId="14" fillId="37" borderId="103" xfId="83" applyFont="1" applyFill="1" applyBorder="1" applyAlignment="1">
      <alignment horizontal="center" vertical="center" wrapText="1"/>
    </xf>
    <xf numFmtId="0" fontId="14" fillId="37" borderId="105" xfId="83" applyFont="1" applyFill="1" applyBorder="1" applyAlignment="1">
      <alignment horizontal="center" vertical="center" wrapText="1"/>
    </xf>
    <xf numFmtId="0" fontId="14" fillId="37" borderId="104" xfId="83" applyFont="1" applyFill="1" applyBorder="1" applyAlignment="1">
      <alignment horizontal="center" vertical="center" wrapText="1"/>
    </xf>
    <xf numFmtId="0" fontId="14" fillId="34" borderId="25" xfId="122" applyFont="1" applyFill="1" applyBorder="1" applyAlignment="1">
      <alignment horizontal="center" vertical="center" wrapText="1"/>
    </xf>
    <xf numFmtId="0" fontId="14" fillId="34" borderId="21" xfId="122" applyFont="1" applyFill="1" applyBorder="1" applyAlignment="1">
      <alignment horizontal="center" vertical="center" wrapText="1"/>
    </xf>
    <xf numFmtId="0" fontId="67" fillId="34" borderId="25" xfId="122" applyFont="1" applyFill="1" applyBorder="1" applyAlignment="1">
      <alignment horizontal="center" vertical="center" wrapText="1"/>
    </xf>
    <xf numFmtId="0" fontId="67" fillId="34" borderId="21" xfId="122" applyFont="1" applyFill="1" applyBorder="1" applyAlignment="1">
      <alignment horizontal="center" vertical="center" wrapText="1"/>
    </xf>
    <xf numFmtId="0" fontId="63" fillId="34" borderId="25" xfId="122" applyFont="1" applyFill="1" applyBorder="1" applyAlignment="1">
      <alignment horizontal="center" vertical="center" wrapText="1"/>
    </xf>
    <xf numFmtId="0" fontId="63" fillId="34" borderId="21" xfId="122" applyFont="1" applyFill="1" applyBorder="1" applyAlignment="1">
      <alignment horizontal="center" vertical="center" wrapText="1"/>
    </xf>
    <xf numFmtId="0" fontId="14" fillId="0" borderId="49" xfId="0" applyFont="1" applyBorder="1" applyAlignment="1">
      <alignment horizontal="center"/>
    </xf>
    <xf numFmtId="0" fontId="14" fillId="0" borderId="50" xfId="0" applyFont="1" applyBorder="1" applyAlignment="1">
      <alignment horizontal="center"/>
    </xf>
    <xf numFmtId="0" fontId="14" fillId="0" borderId="51" xfId="0" applyFont="1" applyBorder="1" applyAlignment="1">
      <alignment horizontal="center"/>
    </xf>
    <xf numFmtId="0" fontId="14" fillId="34" borderId="12" xfId="0" applyFont="1" applyFill="1" applyBorder="1" applyAlignment="1">
      <alignment horizontal="center"/>
    </xf>
    <xf numFmtId="0" fontId="14" fillId="34" borderId="23" xfId="0" applyFont="1" applyFill="1" applyBorder="1" applyAlignment="1">
      <alignment horizontal="center"/>
    </xf>
    <xf numFmtId="0" fontId="14" fillId="34" borderId="18" xfId="0" applyFont="1" applyFill="1" applyBorder="1" applyAlignment="1">
      <alignment horizontal="center"/>
    </xf>
    <xf numFmtId="0" fontId="14" fillId="34" borderId="24" xfId="0" applyFont="1" applyFill="1" applyBorder="1" applyAlignment="1">
      <alignment horizontal="center"/>
    </xf>
    <xf numFmtId="0" fontId="14" fillId="34" borderId="4" xfId="0" applyFont="1" applyFill="1" applyBorder="1" applyAlignment="1">
      <alignment horizontal="center"/>
    </xf>
    <xf numFmtId="0" fontId="14" fillId="34" borderId="57" xfId="0" applyFont="1" applyFill="1" applyBorder="1" applyAlignment="1">
      <alignment horizontal="center"/>
    </xf>
    <xf numFmtId="0" fontId="14" fillId="34" borderId="19" xfId="0" applyFont="1" applyFill="1" applyBorder="1" applyAlignment="1">
      <alignment horizontal="center"/>
    </xf>
    <xf numFmtId="0" fontId="12" fillId="0" borderId="24" xfId="0" applyFont="1" applyBorder="1" applyAlignment="1">
      <alignment horizontal="left" wrapText="1"/>
    </xf>
    <xf numFmtId="0" fontId="12" fillId="0" borderId="4" xfId="0" applyFont="1" applyBorder="1" applyAlignment="1">
      <alignment horizontal="left" wrapText="1"/>
    </xf>
    <xf numFmtId="0" fontId="12" fillId="0" borderId="19" xfId="0" applyFont="1" applyBorder="1" applyAlignment="1">
      <alignment horizontal="left" wrapText="1"/>
    </xf>
    <xf numFmtId="0" fontId="12" fillId="0" borderId="0" xfId="82" applyFont="1" applyAlignment="1">
      <alignment horizontal="left"/>
    </xf>
    <xf numFmtId="0" fontId="14" fillId="34" borderId="55" xfId="0" applyFont="1" applyFill="1" applyBorder="1" applyAlignment="1">
      <alignment horizontal="center" wrapText="1"/>
    </xf>
    <xf numFmtId="0" fontId="14" fillId="34" borderId="56" xfId="0" applyFont="1" applyFill="1" applyBorder="1" applyAlignment="1">
      <alignment horizontal="center" wrapText="1"/>
    </xf>
    <xf numFmtId="0" fontId="14" fillId="34" borderId="54" xfId="0" applyFont="1" applyFill="1" applyBorder="1" applyAlignment="1">
      <alignment horizontal="center" wrapText="1"/>
    </xf>
    <xf numFmtId="0" fontId="14" fillId="34" borderId="47" xfId="0" applyFont="1" applyFill="1" applyBorder="1" applyAlignment="1">
      <alignment horizontal="center" wrapText="1"/>
    </xf>
    <xf numFmtId="167" fontId="14" fillId="34" borderId="55" xfId="45" applyNumberFormat="1" applyFont="1" applyFill="1" applyBorder="1" applyAlignment="1">
      <alignment horizontal="center" wrapText="1"/>
    </xf>
    <xf numFmtId="167" fontId="14" fillId="34" borderId="56" xfId="45" applyNumberFormat="1" applyFont="1" applyFill="1" applyBorder="1" applyAlignment="1">
      <alignment horizontal="center" wrapText="1"/>
    </xf>
    <xf numFmtId="0" fontId="33" fillId="0" borderId="0" xfId="0" applyFont="1" applyAlignment="1">
      <alignment horizontal="left" wrapText="1"/>
    </xf>
    <xf numFmtId="0" fontId="14" fillId="32" borderId="24" xfId="0" applyFont="1" applyFill="1" applyBorder="1" applyAlignment="1">
      <alignment horizontal="center"/>
    </xf>
    <xf numFmtId="0" fontId="14" fillId="32" borderId="4" xfId="0" applyFont="1" applyFill="1" applyBorder="1" applyAlignment="1">
      <alignment horizontal="center"/>
    </xf>
    <xf numFmtId="0" fontId="12" fillId="0" borderId="19" xfId="0" applyFont="1" applyBorder="1"/>
    <xf numFmtId="0" fontId="12" fillId="0" borderId="24" xfId="0" applyFont="1" applyBorder="1"/>
    <xf numFmtId="0" fontId="12" fillId="0" borderId="27" xfId="0" applyFont="1" applyBorder="1"/>
    <xf numFmtId="0" fontId="12" fillId="0" borderId="52" xfId="0" applyFont="1" applyBorder="1"/>
    <xf numFmtId="167" fontId="14" fillId="34" borderId="25" xfId="45" applyNumberFormat="1" applyFont="1" applyFill="1" applyBorder="1" applyAlignment="1">
      <alignment horizontal="center" wrapText="1"/>
    </xf>
    <xf numFmtId="167" fontId="14" fillId="34" borderId="16" xfId="45" applyNumberFormat="1" applyFont="1" applyFill="1" applyBorder="1" applyAlignment="1">
      <alignment horizontal="center" wrapText="1"/>
    </xf>
    <xf numFmtId="167" fontId="14" fillId="34" borderId="21" xfId="45" applyNumberFormat="1" applyFont="1" applyFill="1" applyBorder="1" applyAlignment="1">
      <alignment horizontal="center" wrapText="1"/>
    </xf>
    <xf numFmtId="167" fontId="14" fillId="34" borderId="53" xfId="45" applyNumberFormat="1" applyFont="1" applyFill="1" applyBorder="1" applyAlignment="1">
      <alignment horizontal="center" wrapText="1"/>
    </xf>
    <xf numFmtId="167" fontId="12" fillId="34" borderId="54" xfId="45" applyNumberFormat="1" applyFont="1" applyFill="1" applyBorder="1" applyAlignment="1">
      <alignment horizontal="center" wrapText="1"/>
    </xf>
    <xf numFmtId="167" fontId="12" fillId="34" borderId="47" xfId="45" applyNumberFormat="1" applyFont="1" applyFill="1" applyBorder="1" applyAlignment="1">
      <alignment horizontal="center" wrapText="1"/>
    </xf>
    <xf numFmtId="167" fontId="14" fillId="34" borderId="54" xfId="45" applyNumberFormat="1" applyFont="1" applyFill="1" applyBorder="1" applyAlignment="1">
      <alignment horizontal="center" wrapText="1"/>
    </xf>
    <xf numFmtId="167" fontId="14" fillId="34" borderId="47" xfId="45" applyNumberFormat="1" applyFont="1" applyFill="1" applyBorder="1" applyAlignment="1">
      <alignment horizontal="center" wrapText="1"/>
    </xf>
    <xf numFmtId="0" fontId="12" fillId="0" borderId="0" xfId="0" applyFont="1" applyAlignment="1">
      <alignment wrapText="1"/>
    </xf>
    <xf numFmtId="0" fontId="0" fillId="0" borderId="0" xfId="0" applyAlignment="1">
      <alignment wrapText="1"/>
    </xf>
    <xf numFmtId="0" fontId="12" fillId="0" borderId="58" xfId="0" applyFont="1" applyBorder="1" applyAlignment="1">
      <alignment horizontal="center" vertical="center"/>
    </xf>
    <xf numFmtId="0" fontId="12" fillId="0" borderId="59" xfId="0" applyFont="1" applyBorder="1" applyAlignment="1">
      <alignment horizontal="center" vertical="center"/>
    </xf>
    <xf numFmtId="0" fontId="12" fillId="0" borderId="60" xfId="0" applyFont="1" applyBorder="1" applyAlignment="1">
      <alignment horizontal="left" wrapText="1"/>
    </xf>
    <xf numFmtId="0" fontId="12" fillId="0" borderId="61" xfId="0" applyFont="1" applyBorder="1" applyAlignment="1">
      <alignment horizontal="left" wrapText="1"/>
    </xf>
    <xf numFmtId="0" fontId="12" fillId="0" borderId="62" xfId="0" applyFont="1" applyBorder="1" applyAlignment="1">
      <alignment horizontal="left" wrapText="1"/>
    </xf>
    <xf numFmtId="0" fontId="12" fillId="0" borderId="36" xfId="0" applyFont="1" applyBorder="1" applyAlignment="1">
      <alignment horizontal="center"/>
    </xf>
    <xf numFmtId="0" fontId="12" fillId="0" borderId="48" xfId="0" applyFont="1" applyBorder="1" applyAlignment="1">
      <alignment horizontal="center"/>
    </xf>
    <xf numFmtId="0" fontId="12" fillId="0" borderId="63" xfId="0" applyFont="1" applyBorder="1" applyAlignment="1">
      <alignment horizontal="center"/>
    </xf>
    <xf numFmtId="0" fontId="12" fillId="0" borderId="14" xfId="0" applyFont="1" applyBorder="1" applyAlignment="1">
      <alignment horizontal="center"/>
    </xf>
    <xf numFmtId="0" fontId="12" fillId="0" borderId="0" xfId="0" applyFont="1" applyAlignment="1">
      <alignment horizontal="center"/>
    </xf>
    <xf numFmtId="0" fontId="12" fillId="0" borderId="64" xfId="0" applyFont="1" applyBorder="1" applyAlignment="1">
      <alignment horizontal="center"/>
    </xf>
    <xf numFmtId="0" fontId="12" fillId="0" borderId="27" xfId="0" applyFont="1" applyBorder="1" applyAlignment="1">
      <alignment horizontal="center"/>
    </xf>
    <xf numFmtId="0" fontId="12" fillId="0" borderId="33" xfId="0" applyFont="1" applyBorder="1" applyAlignment="1">
      <alignment horizontal="center"/>
    </xf>
    <xf numFmtId="0" fontId="12" fillId="0" borderId="34" xfId="0" applyFont="1" applyBorder="1" applyAlignment="1">
      <alignment horizontal="center"/>
    </xf>
    <xf numFmtId="0" fontId="14" fillId="0" borderId="65" xfId="0" applyFont="1" applyBorder="1" applyAlignment="1">
      <alignment horizontal="left" vertical="top" wrapText="1"/>
    </xf>
    <xf numFmtId="0" fontId="14" fillId="0" borderId="55" xfId="0" applyFont="1" applyBorder="1" applyAlignment="1">
      <alignment horizontal="left" vertical="top"/>
    </xf>
    <xf numFmtId="0" fontId="14" fillId="0" borderId="56" xfId="0" applyFont="1" applyBorder="1" applyAlignment="1">
      <alignment horizontal="left" vertical="top"/>
    </xf>
    <xf numFmtId="0" fontId="12" fillId="0" borderId="36" xfId="0" applyFont="1" applyBorder="1" applyAlignment="1">
      <alignment horizontal="left" vertical="top" wrapText="1"/>
    </xf>
    <xf numFmtId="0" fontId="12" fillId="0" borderId="48" xfId="0" applyFont="1" applyBorder="1" applyAlignment="1">
      <alignment horizontal="left" vertical="top"/>
    </xf>
    <xf numFmtId="0" fontId="12" fillId="0" borderId="63" xfId="0" applyFont="1" applyBorder="1" applyAlignment="1">
      <alignment horizontal="left" vertical="top"/>
    </xf>
    <xf numFmtId="0" fontId="12" fillId="0" borderId="14" xfId="0" applyFont="1" applyBorder="1" applyAlignment="1">
      <alignment horizontal="left" vertical="top"/>
    </xf>
    <xf numFmtId="0" fontId="12" fillId="0" borderId="0" xfId="0" applyFont="1" applyAlignment="1">
      <alignment horizontal="left" vertical="top"/>
    </xf>
    <xf numFmtId="0" fontId="12" fillId="0" borderId="64" xfId="0" applyFont="1" applyBorder="1" applyAlignment="1">
      <alignment horizontal="left" vertical="top"/>
    </xf>
    <xf numFmtId="0" fontId="12" fillId="0" borderId="27" xfId="0" applyFont="1" applyBorder="1" applyAlignment="1">
      <alignment horizontal="left" vertical="top"/>
    </xf>
    <xf numFmtId="0" fontId="12" fillId="0" borderId="33" xfId="0" applyFont="1" applyBorder="1" applyAlignment="1">
      <alignment horizontal="left" vertical="top"/>
    </xf>
    <xf numFmtId="0" fontId="12" fillId="0" borderId="34" xfId="0" applyFont="1" applyBorder="1" applyAlignment="1">
      <alignment horizontal="left" vertical="top"/>
    </xf>
    <xf numFmtId="0" fontId="12" fillId="0" borderId="36" xfId="656" applyBorder="1" applyAlignment="1">
      <alignment horizontal="left" vertical="top" wrapText="1"/>
    </xf>
    <xf numFmtId="0" fontId="12" fillId="0" borderId="48" xfId="656" applyBorder="1" applyAlignment="1">
      <alignment horizontal="left" vertical="top" wrapText="1"/>
    </xf>
    <xf numFmtId="0" fontId="12" fillId="0" borderId="63" xfId="656" applyBorder="1" applyAlignment="1">
      <alignment horizontal="left" vertical="top" wrapText="1"/>
    </xf>
    <xf numFmtId="0" fontId="12" fillId="0" borderId="14" xfId="656" applyBorder="1" applyAlignment="1">
      <alignment horizontal="left" vertical="top" wrapText="1"/>
    </xf>
    <xf numFmtId="0" fontId="12" fillId="0" borderId="0" xfId="656" applyAlignment="1">
      <alignment horizontal="left" vertical="top" wrapText="1"/>
    </xf>
    <xf numFmtId="0" fontId="12" fillId="0" borderId="64" xfId="656" applyBorder="1" applyAlignment="1">
      <alignment horizontal="left" vertical="top" wrapText="1"/>
    </xf>
    <xf numFmtId="0" fontId="12" fillId="0" borderId="27" xfId="656" applyBorder="1" applyAlignment="1">
      <alignment horizontal="left" vertical="top" wrapText="1"/>
    </xf>
    <xf numFmtId="0" fontId="12" fillId="0" borderId="33" xfId="656" applyBorder="1" applyAlignment="1">
      <alignment horizontal="left" vertical="top" wrapText="1"/>
    </xf>
    <xf numFmtId="0" fontId="12" fillId="0" borderId="34" xfId="656" applyBorder="1" applyAlignment="1">
      <alignment horizontal="left" vertical="top" wrapText="1"/>
    </xf>
    <xf numFmtId="0" fontId="12" fillId="0" borderId="48" xfId="0" applyFont="1" applyBorder="1" applyAlignment="1">
      <alignment horizontal="left" vertical="top" wrapText="1"/>
    </xf>
    <xf numFmtId="0" fontId="12" fillId="0" borderId="63" xfId="0" applyFont="1" applyBorder="1" applyAlignment="1">
      <alignment horizontal="left" vertical="top" wrapText="1"/>
    </xf>
    <xf numFmtId="0" fontId="12" fillId="0" borderId="14" xfId="0" applyFont="1" applyBorder="1" applyAlignment="1">
      <alignment horizontal="left" vertical="top" wrapText="1"/>
    </xf>
    <xf numFmtId="0" fontId="12" fillId="0" borderId="0" xfId="0" applyFont="1" applyAlignment="1">
      <alignment horizontal="left" vertical="top" wrapText="1"/>
    </xf>
    <xf numFmtId="0" fontId="12" fillId="0" borderId="64" xfId="0" applyFont="1" applyBorder="1" applyAlignment="1">
      <alignment horizontal="left" vertical="top" wrapText="1"/>
    </xf>
    <xf numFmtId="0" fontId="12" fillId="0" borderId="27" xfId="0" applyFont="1" applyBorder="1" applyAlignment="1">
      <alignment horizontal="left" vertical="top" wrapText="1"/>
    </xf>
    <xf numFmtId="0" fontId="12" fillId="0" borderId="33" xfId="0" applyFont="1" applyBorder="1" applyAlignment="1">
      <alignment horizontal="left" vertical="top" wrapText="1"/>
    </xf>
    <xf numFmtId="0" fontId="12" fillId="0" borderId="34" xfId="0" applyFont="1" applyBorder="1" applyAlignment="1">
      <alignment horizontal="left" vertical="top" wrapText="1"/>
    </xf>
    <xf numFmtId="202" fontId="75" fillId="37" borderId="136" xfId="0" applyNumberFormat="1" applyFont="1" applyFill="1" applyBorder="1" applyProtection="1">
      <protection locked="0"/>
    </xf>
  </cellXfs>
  <cellStyles count="657">
    <cellStyle name="20% - Accent1" xfId="1" builtinId="30" customBuiltin="1"/>
    <cellStyle name="20% - Accent1 2" xfId="142" xr:uid="{00000000-0005-0000-0000-000001000000}"/>
    <cellStyle name="20% - Accent1 2 2" xfId="143" xr:uid="{00000000-0005-0000-0000-000002000000}"/>
    <cellStyle name="20% - Accent1 3" xfId="144" xr:uid="{00000000-0005-0000-0000-000003000000}"/>
    <cellStyle name="20% - Accent2" xfId="2" builtinId="34" customBuiltin="1"/>
    <cellStyle name="20% - Accent2 2" xfId="145" xr:uid="{00000000-0005-0000-0000-000005000000}"/>
    <cellStyle name="20% - Accent2 2 2" xfId="146" xr:uid="{00000000-0005-0000-0000-000006000000}"/>
    <cellStyle name="20% - Accent2 3" xfId="147" xr:uid="{00000000-0005-0000-0000-000007000000}"/>
    <cellStyle name="20% - Accent3" xfId="3" builtinId="38" customBuiltin="1"/>
    <cellStyle name="20% - Accent3 2" xfId="148" xr:uid="{00000000-0005-0000-0000-000009000000}"/>
    <cellStyle name="20% - Accent3 2 2" xfId="149" xr:uid="{00000000-0005-0000-0000-00000A000000}"/>
    <cellStyle name="20% - Accent3 3" xfId="150" xr:uid="{00000000-0005-0000-0000-00000B000000}"/>
    <cellStyle name="20% - Accent4" xfId="4" builtinId="42" customBuiltin="1"/>
    <cellStyle name="20% - Accent4 2" xfId="151" xr:uid="{00000000-0005-0000-0000-00000D000000}"/>
    <cellStyle name="20% - Accent4 2 2" xfId="152" xr:uid="{00000000-0005-0000-0000-00000E000000}"/>
    <cellStyle name="20% - Accent4 3" xfId="153" xr:uid="{00000000-0005-0000-0000-00000F000000}"/>
    <cellStyle name="20% - Accent5" xfId="5" builtinId="46" customBuiltin="1"/>
    <cellStyle name="20% - Accent5 2" xfId="154" xr:uid="{00000000-0005-0000-0000-000011000000}"/>
    <cellStyle name="20% - Accent5 2 2" xfId="155" xr:uid="{00000000-0005-0000-0000-000012000000}"/>
    <cellStyle name="20% - Accent6" xfId="6" builtinId="50" customBuiltin="1"/>
    <cellStyle name="20% - Accent6 2" xfId="156" xr:uid="{00000000-0005-0000-0000-000014000000}"/>
    <cellStyle name="20% - Accent6 2 2" xfId="157" xr:uid="{00000000-0005-0000-0000-000015000000}"/>
    <cellStyle name="20% - Accent6 3" xfId="158" xr:uid="{00000000-0005-0000-0000-000016000000}"/>
    <cellStyle name="40% - Accent1" xfId="7" builtinId="31" customBuiltin="1"/>
    <cellStyle name="40% - Accent1 2" xfId="159" xr:uid="{00000000-0005-0000-0000-000018000000}"/>
    <cellStyle name="40% - Accent1 2 2" xfId="160" xr:uid="{00000000-0005-0000-0000-000019000000}"/>
    <cellStyle name="40% - Accent1 3" xfId="161" xr:uid="{00000000-0005-0000-0000-00001A000000}"/>
    <cellStyle name="40% - Accent2" xfId="8" builtinId="35" customBuiltin="1"/>
    <cellStyle name="40% - Accent2 2" xfId="162" xr:uid="{00000000-0005-0000-0000-00001C000000}"/>
    <cellStyle name="40% - Accent2 2 2" xfId="163" xr:uid="{00000000-0005-0000-0000-00001D000000}"/>
    <cellStyle name="40% - Accent3" xfId="9" builtinId="39" customBuiltin="1"/>
    <cellStyle name="40% - Accent3 2" xfId="164" xr:uid="{00000000-0005-0000-0000-00001F000000}"/>
    <cellStyle name="40% - Accent3 2 2" xfId="165" xr:uid="{00000000-0005-0000-0000-000020000000}"/>
    <cellStyle name="40% - Accent3 3" xfId="166" xr:uid="{00000000-0005-0000-0000-000021000000}"/>
    <cellStyle name="40% - Accent4" xfId="10" builtinId="43" customBuiltin="1"/>
    <cellStyle name="40% - Accent4 2" xfId="167" xr:uid="{00000000-0005-0000-0000-000023000000}"/>
    <cellStyle name="40% - Accent4 2 2" xfId="168" xr:uid="{00000000-0005-0000-0000-000024000000}"/>
    <cellStyle name="40% - Accent4 3" xfId="169" xr:uid="{00000000-0005-0000-0000-000025000000}"/>
    <cellStyle name="40% - Accent5" xfId="11" builtinId="47" customBuiltin="1"/>
    <cellStyle name="40% - Accent5 2" xfId="170" xr:uid="{00000000-0005-0000-0000-000027000000}"/>
    <cellStyle name="40% - Accent5 2 2" xfId="171" xr:uid="{00000000-0005-0000-0000-000028000000}"/>
    <cellStyle name="40% - Accent5 3" xfId="172" xr:uid="{00000000-0005-0000-0000-000029000000}"/>
    <cellStyle name="40% - Accent6" xfId="12" builtinId="51" customBuiltin="1"/>
    <cellStyle name="40% - Accent6 2" xfId="173" xr:uid="{00000000-0005-0000-0000-00002B000000}"/>
    <cellStyle name="40% - Accent6 2 2" xfId="174" xr:uid="{00000000-0005-0000-0000-00002C000000}"/>
    <cellStyle name="40% - Accent6 3" xfId="175" xr:uid="{00000000-0005-0000-0000-00002D000000}"/>
    <cellStyle name="60% - Accent1" xfId="13" builtinId="32" customBuiltin="1"/>
    <cellStyle name="60% - Accent1 2" xfId="176" xr:uid="{00000000-0005-0000-0000-00002F000000}"/>
    <cellStyle name="60% - Accent1 3" xfId="177" xr:uid="{00000000-0005-0000-0000-000030000000}"/>
    <cellStyle name="60% - Accent2" xfId="14" builtinId="36" customBuiltin="1"/>
    <cellStyle name="60% - Accent2 2" xfId="178" xr:uid="{00000000-0005-0000-0000-000032000000}"/>
    <cellStyle name="60% - Accent2 3" xfId="179" xr:uid="{00000000-0005-0000-0000-000033000000}"/>
    <cellStyle name="60% - Accent3" xfId="15" builtinId="40" customBuiltin="1"/>
    <cellStyle name="60% - Accent3 2" xfId="180" xr:uid="{00000000-0005-0000-0000-000035000000}"/>
    <cellStyle name="60% - Accent3 3" xfId="181" xr:uid="{00000000-0005-0000-0000-000036000000}"/>
    <cellStyle name="60% - Accent4" xfId="16" builtinId="44" customBuiltin="1"/>
    <cellStyle name="60% - Accent4 2" xfId="182" xr:uid="{00000000-0005-0000-0000-000038000000}"/>
    <cellStyle name="60% - Accent4 3" xfId="183" xr:uid="{00000000-0005-0000-0000-000039000000}"/>
    <cellStyle name="60% - Accent5" xfId="17" builtinId="48" customBuiltin="1"/>
    <cellStyle name="60% - Accent5 2" xfId="184" xr:uid="{00000000-0005-0000-0000-00003B000000}"/>
    <cellStyle name="60% - Accent5 3" xfId="185" xr:uid="{00000000-0005-0000-0000-00003C000000}"/>
    <cellStyle name="60% - Accent6" xfId="18" builtinId="52" customBuiltin="1"/>
    <cellStyle name="60% - Accent6 2" xfId="186" xr:uid="{00000000-0005-0000-0000-00003E000000}"/>
    <cellStyle name="60% - Accent6 3" xfId="187" xr:uid="{00000000-0005-0000-0000-00003F000000}"/>
    <cellStyle name="Accent1" xfId="19" builtinId="29" customBuiltin="1"/>
    <cellStyle name="Accent1 2" xfId="188" xr:uid="{00000000-0005-0000-0000-000041000000}"/>
    <cellStyle name="Accent1 3" xfId="189" xr:uid="{00000000-0005-0000-0000-000042000000}"/>
    <cellStyle name="Accent2" xfId="20" builtinId="33" customBuiltin="1"/>
    <cellStyle name="Accent2 2" xfId="190" xr:uid="{00000000-0005-0000-0000-000044000000}"/>
    <cellStyle name="Accent2 3" xfId="191" xr:uid="{00000000-0005-0000-0000-000045000000}"/>
    <cellStyle name="Accent3" xfId="21" builtinId="37" customBuiltin="1"/>
    <cellStyle name="Accent3 2" xfId="192" xr:uid="{00000000-0005-0000-0000-000047000000}"/>
    <cellStyle name="Accent3 3" xfId="193" xr:uid="{00000000-0005-0000-0000-000048000000}"/>
    <cellStyle name="Accent4" xfId="22" builtinId="41" customBuiltin="1"/>
    <cellStyle name="Accent4 2" xfId="194" xr:uid="{00000000-0005-0000-0000-00004A000000}"/>
    <cellStyle name="Accent4 3" xfId="195" xr:uid="{00000000-0005-0000-0000-00004B000000}"/>
    <cellStyle name="Accent5" xfId="23" builtinId="45" customBuiltin="1"/>
    <cellStyle name="Accent5 2" xfId="196" xr:uid="{00000000-0005-0000-0000-00004D000000}"/>
    <cellStyle name="Accent6" xfId="24" builtinId="49" customBuiltin="1"/>
    <cellStyle name="Accent6 2" xfId="197" xr:uid="{00000000-0005-0000-0000-00004F000000}"/>
    <cellStyle name="Accent6 3" xfId="198" xr:uid="{00000000-0005-0000-0000-000050000000}"/>
    <cellStyle name="arrow" xfId="25" xr:uid="{00000000-0005-0000-0000-000051000000}"/>
    <cellStyle name="Bad" xfId="26" builtinId="27" customBuiltin="1"/>
    <cellStyle name="Bad 2" xfId="199" xr:uid="{00000000-0005-0000-0000-000053000000}"/>
    <cellStyle name="Bad 3" xfId="200" xr:uid="{00000000-0005-0000-0000-000054000000}"/>
    <cellStyle name="Blue" xfId="27" xr:uid="{00000000-0005-0000-0000-000055000000}"/>
    <cellStyle name="bluel" xfId="28" xr:uid="{00000000-0005-0000-0000-000056000000}"/>
    <cellStyle name="BlueLeft" xfId="29" xr:uid="{00000000-0005-0000-0000-000057000000}"/>
    <cellStyle name="bluer" xfId="30" xr:uid="{00000000-0005-0000-0000-000058000000}"/>
    <cellStyle name="Bottom bold border" xfId="201" xr:uid="{00000000-0005-0000-0000-000059000000}"/>
    <cellStyle name="Bottom single border" xfId="202" xr:uid="{00000000-0005-0000-0000-00005A000000}"/>
    <cellStyle name="Bottom single border 2" xfId="203" xr:uid="{00000000-0005-0000-0000-00005B000000}"/>
    <cellStyle name="Bottom single border 2 2" xfId="204" xr:uid="{00000000-0005-0000-0000-00005C000000}"/>
    <cellStyle name="Bottom single border 3" xfId="205" xr:uid="{00000000-0005-0000-0000-00005D000000}"/>
    <cellStyle name="Bottom single border 3 2" xfId="206" xr:uid="{00000000-0005-0000-0000-00005E000000}"/>
    <cellStyle name="Bottom single border 4" xfId="207" xr:uid="{00000000-0005-0000-0000-00005F000000}"/>
    <cellStyle name="Bottom single border 4 2" xfId="208" xr:uid="{00000000-0005-0000-0000-000060000000}"/>
    <cellStyle name="Bottom single border 5" xfId="209" xr:uid="{00000000-0005-0000-0000-000061000000}"/>
    <cellStyle name="Calc Currency (0)" xfId="31" xr:uid="{00000000-0005-0000-0000-000062000000}"/>
    <cellStyle name="Calculation" xfId="32" builtinId="22" customBuiltin="1"/>
    <cellStyle name="Calculation 2" xfId="210" xr:uid="{00000000-0005-0000-0000-000064000000}"/>
    <cellStyle name="Calculation 2 2" xfId="211" xr:uid="{00000000-0005-0000-0000-000065000000}"/>
    <cellStyle name="Calculation 2 2 2" xfId="212" xr:uid="{00000000-0005-0000-0000-000066000000}"/>
    <cellStyle name="Calculation 2 3" xfId="213" xr:uid="{00000000-0005-0000-0000-000067000000}"/>
    <cellStyle name="Calculation 2 3 2" xfId="214" xr:uid="{00000000-0005-0000-0000-000068000000}"/>
    <cellStyle name="Calculation 2 4" xfId="215" xr:uid="{00000000-0005-0000-0000-000069000000}"/>
    <cellStyle name="Calculation 3" xfId="216" xr:uid="{00000000-0005-0000-0000-00006A000000}"/>
    <cellStyle name="Calculation 3 2" xfId="217" xr:uid="{00000000-0005-0000-0000-00006B000000}"/>
    <cellStyle name="Calculation 4" xfId="218" xr:uid="{00000000-0005-0000-0000-00006C000000}"/>
    <cellStyle name="Check Cell" xfId="33" builtinId="23" customBuiltin="1"/>
    <cellStyle name="Check Cell 2" xfId="219" xr:uid="{00000000-0005-0000-0000-00006E000000}"/>
    <cellStyle name="Comma" xfId="34" builtinId="3"/>
    <cellStyle name="Comma  - Style1" xfId="220" xr:uid="{00000000-0005-0000-0000-000070000000}"/>
    <cellStyle name="Comma  - Style2" xfId="221" xr:uid="{00000000-0005-0000-0000-000071000000}"/>
    <cellStyle name="Comma  - Style3" xfId="222" xr:uid="{00000000-0005-0000-0000-000072000000}"/>
    <cellStyle name="Comma  - Style4" xfId="223" xr:uid="{00000000-0005-0000-0000-000073000000}"/>
    <cellStyle name="Comma  - Style5" xfId="224" xr:uid="{00000000-0005-0000-0000-000074000000}"/>
    <cellStyle name="Comma  - Style6" xfId="225" xr:uid="{00000000-0005-0000-0000-000075000000}"/>
    <cellStyle name="Comma  - Style7" xfId="226" xr:uid="{00000000-0005-0000-0000-000076000000}"/>
    <cellStyle name="Comma  - Style8" xfId="227" xr:uid="{00000000-0005-0000-0000-000077000000}"/>
    <cellStyle name="Comma [2]" xfId="228" xr:uid="{00000000-0005-0000-0000-000078000000}"/>
    <cellStyle name="Comma 10" xfId="126" xr:uid="{00000000-0005-0000-0000-000079000000}"/>
    <cellStyle name="Comma 11" xfId="229" xr:uid="{00000000-0005-0000-0000-00007A000000}"/>
    <cellStyle name="Comma 11 2" xfId="545" xr:uid="{00000000-0005-0000-0000-00007B000000}"/>
    <cellStyle name="Comma 12" xfId="230" xr:uid="{00000000-0005-0000-0000-00007C000000}"/>
    <cellStyle name="Comma 12 2" xfId="546" xr:uid="{00000000-0005-0000-0000-00007D000000}"/>
    <cellStyle name="Comma 13" xfId="231" xr:uid="{00000000-0005-0000-0000-00007E000000}"/>
    <cellStyle name="Comma 13 2" xfId="547" xr:uid="{00000000-0005-0000-0000-00007F000000}"/>
    <cellStyle name="Comma 14" xfId="232" xr:uid="{00000000-0005-0000-0000-000080000000}"/>
    <cellStyle name="Comma 14 2" xfId="548" xr:uid="{00000000-0005-0000-0000-000081000000}"/>
    <cellStyle name="Comma 15" xfId="233" xr:uid="{00000000-0005-0000-0000-000082000000}"/>
    <cellStyle name="Comma 16" xfId="234" xr:uid="{00000000-0005-0000-0000-000083000000}"/>
    <cellStyle name="Comma 17" xfId="235" xr:uid="{00000000-0005-0000-0000-000084000000}"/>
    <cellStyle name="Comma 18" xfId="236" xr:uid="{00000000-0005-0000-0000-000085000000}"/>
    <cellStyle name="Comma 18 2" xfId="549" xr:uid="{00000000-0005-0000-0000-000086000000}"/>
    <cellStyle name="Comma 19" xfId="237" xr:uid="{00000000-0005-0000-0000-000087000000}"/>
    <cellStyle name="Comma 19 2" xfId="238" xr:uid="{00000000-0005-0000-0000-000088000000}"/>
    <cellStyle name="Comma 19 2 2" xfId="551" xr:uid="{00000000-0005-0000-0000-000089000000}"/>
    <cellStyle name="Comma 19 3" xfId="239" xr:uid="{00000000-0005-0000-0000-00008A000000}"/>
    <cellStyle name="Comma 19 3 2" xfId="552" xr:uid="{00000000-0005-0000-0000-00008B000000}"/>
    <cellStyle name="Comma 19 4" xfId="240" xr:uid="{00000000-0005-0000-0000-00008C000000}"/>
    <cellStyle name="Comma 19 4 2" xfId="553" xr:uid="{00000000-0005-0000-0000-00008D000000}"/>
    <cellStyle name="Comma 19 5" xfId="550" xr:uid="{00000000-0005-0000-0000-00008E000000}"/>
    <cellStyle name="Comma 2" xfId="35" xr:uid="{00000000-0005-0000-0000-00008F000000}"/>
    <cellStyle name="Comma 2 2" xfId="241" xr:uid="{00000000-0005-0000-0000-000090000000}"/>
    <cellStyle name="Comma 2 2 2" xfId="242" xr:uid="{00000000-0005-0000-0000-000091000000}"/>
    <cellStyle name="Comma 2 2 3" xfId="243" xr:uid="{00000000-0005-0000-0000-000092000000}"/>
    <cellStyle name="Comma 2 2 3 2" xfId="555" xr:uid="{00000000-0005-0000-0000-000093000000}"/>
    <cellStyle name="Comma 2 2 4" xfId="554" xr:uid="{00000000-0005-0000-0000-000094000000}"/>
    <cellStyle name="Comma 2 3" xfId="244" xr:uid="{00000000-0005-0000-0000-000095000000}"/>
    <cellStyle name="Comma 2 3 2" xfId="245" xr:uid="{00000000-0005-0000-0000-000096000000}"/>
    <cellStyle name="Comma 2 3 3" xfId="246" xr:uid="{00000000-0005-0000-0000-000097000000}"/>
    <cellStyle name="Comma 2 4" xfId="247" xr:uid="{00000000-0005-0000-0000-000098000000}"/>
    <cellStyle name="Comma 2 5" xfId="248" xr:uid="{00000000-0005-0000-0000-000099000000}"/>
    <cellStyle name="Comma 20" xfId="654" xr:uid="{00000000-0005-0000-0000-00009A000000}"/>
    <cellStyle name="Comma 3" xfId="36" xr:uid="{00000000-0005-0000-0000-00009B000000}"/>
    <cellStyle name="Comma 3 2" xfId="120" xr:uid="{00000000-0005-0000-0000-00009C000000}"/>
    <cellStyle name="Comma 3 2 2" xfId="127" xr:uid="{00000000-0005-0000-0000-00009D000000}"/>
    <cellStyle name="Comma 3 2 2 2" xfId="249" xr:uid="{00000000-0005-0000-0000-00009E000000}"/>
    <cellStyle name="Comma 3 2 2 2 2" xfId="556" xr:uid="{00000000-0005-0000-0000-00009F000000}"/>
    <cellStyle name="Comma 3 2 2 3" xfId="535" xr:uid="{00000000-0005-0000-0000-0000A0000000}"/>
    <cellStyle name="Comma 3 2 3" xfId="250" xr:uid="{00000000-0005-0000-0000-0000A1000000}"/>
    <cellStyle name="Comma 3 2 3 2" xfId="557" xr:uid="{00000000-0005-0000-0000-0000A2000000}"/>
    <cellStyle name="Comma 3 3" xfId="128" xr:uid="{00000000-0005-0000-0000-0000A3000000}"/>
    <cellStyle name="Comma 4" xfId="129" xr:uid="{00000000-0005-0000-0000-0000A4000000}"/>
    <cellStyle name="Comma 4 2" xfId="251" xr:uid="{00000000-0005-0000-0000-0000A5000000}"/>
    <cellStyle name="Comma 4 3" xfId="252" xr:uid="{00000000-0005-0000-0000-0000A6000000}"/>
    <cellStyle name="Comma 4 3 2" xfId="558" xr:uid="{00000000-0005-0000-0000-0000A7000000}"/>
    <cellStyle name="Comma 5" xfId="130" xr:uid="{00000000-0005-0000-0000-0000A8000000}"/>
    <cellStyle name="Comma 6" xfId="253" xr:uid="{00000000-0005-0000-0000-0000A9000000}"/>
    <cellStyle name="Comma 7" xfId="254" xr:uid="{00000000-0005-0000-0000-0000AA000000}"/>
    <cellStyle name="Comma 7 2" xfId="255" xr:uid="{00000000-0005-0000-0000-0000AB000000}"/>
    <cellStyle name="Comma 7 2 2" xfId="560" xr:uid="{00000000-0005-0000-0000-0000AC000000}"/>
    <cellStyle name="Comma 7 3" xfId="559" xr:uid="{00000000-0005-0000-0000-0000AD000000}"/>
    <cellStyle name="Comma 8" xfId="256" xr:uid="{00000000-0005-0000-0000-0000AE000000}"/>
    <cellStyle name="Comma 8 2" xfId="257" xr:uid="{00000000-0005-0000-0000-0000AF000000}"/>
    <cellStyle name="Comma 8 2 2" xfId="562" xr:uid="{00000000-0005-0000-0000-0000B0000000}"/>
    <cellStyle name="Comma 8 3" xfId="561" xr:uid="{00000000-0005-0000-0000-0000B1000000}"/>
    <cellStyle name="Comma 9" xfId="258" xr:uid="{00000000-0005-0000-0000-0000B2000000}"/>
    <cellStyle name="Comma 9 2" xfId="259" xr:uid="{00000000-0005-0000-0000-0000B3000000}"/>
    <cellStyle name="Comma 9 2 2" xfId="564" xr:uid="{00000000-0005-0000-0000-0000B4000000}"/>
    <cellStyle name="Comma 9 3" xfId="563" xr:uid="{00000000-0005-0000-0000-0000B5000000}"/>
    <cellStyle name="Comma_Sample Quarterly Report-SCO (5)" xfId="37" xr:uid="{00000000-0005-0000-0000-0000B6000000}"/>
    <cellStyle name="Comma0" xfId="38" xr:uid="{00000000-0005-0000-0000-0000B7000000}"/>
    <cellStyle name="Comma0 2" xfId="260" xr:uid="{00000000-0005-0000-0000-0000B8000000}"/>
    <cellStyle name="Comma1 - Style1" xfId="261" xr:uid="{00000000-0005-0000-0000-0000B9000000}"/>
    <cellStyle name="Copied" xfId="39" xr:uid="{00000000-0005-0000-0000-0000BA000000}"/>
    <cellStyle name="Curren - Style2" xfId="262" xr:uid="{00000000-0005-0000-0000-0000BB000000}"/>
    <cellStyle name="Currency" xfId="40" builtinId="4"/>
    <cellStyle name="Currency 10" xfId="263" xr:uid="{00000000-0005-0000-0000-0000BD000000}"/>
    <cellStyle name="Currency 10 2" xfId="264" xr:uid="{00000000-0005-0000-0000-0000BE000000}"/>
    <cellStyle name="Currency 10 2 2" xfId="566" xr:uid="{00000000-0005-0000-0000-0000BF000000}"/>
    <cellStyle name="Currency 10 3" xfId="565" xr:uid="{00000000-0005-0000-0000-0000C0000000}"/>
    <cellStyle name="Currency 11" xfId="265" xr:uid="{00000000-0005-0000-0000-0000C1000000}"/>
    <cellStyle name="Currency 11 2" xfId="266" xr:uid="{00000000-0005-0000-0000-0000C2000000}"/>
    <cellStyle name="Currency 11 2 2" xfId="568" xr:uid="{00000000-0005-0000-0000-0000C3000000}"/>
    <cellStyle name="Currency 11 3" xfId="567" xr:uid="{00000000-0005-0000-0000-0000C4000000}"/>
    <cellStyle name="Currency 12" xfId="267" xr:uid="{00000000-0005-0000-0000-0000C5000000}"/>
    <cellStyle name="Currency 12 2" xfId="569" xr:uid="{00000000-0005-0000-0000-0000C6000000}"/>
    <cellStyle name="Currency 13" xfId="268" xr:uid="{00000000-0005-0000-0000-0000C7000000}"/>
    <cellStyle name="Currency 13 2" xfId="570" xr:uid="{00000000-0005-0000-0000-0000C8000000}"/>
    <cellStyle name="Currency 14" xfId="269" xr:uid="{00000000-0005-0000-0000-0000C9000000}"/>
    <cellStyle name="Currency 14 2" xfId="571" xr:uid="{00000000-0005-0000-0000-0000CA000000}"/>
    <cellStyle name="Currency 2" xfId="41" xr:uid="{00000000-0005-0000-0000-0000CB000000}"/>
    <cellStyle name="Currency 2 2" xfId="270" xr:uid="{00000000-0005-0000-0000-0000CC000000}"/>
    <cellStyle name="Currency 2 3" xfId="271" xr:uid="{00000000-0005-0000-0000-0000CD000000}"/>
    <cellStyle name="Currency 3" xfId="42" xr:uid="{00000000-0005-0000-0000-0000CE000000}"/>
    <cellStyle name="Currency 3 2" xfId="131" xr:uid="{00000000-0005-0000-0000-0000CF000000}"/>
    <cellStyle name="Currency 3 2 2" xfId="132" xr:uid="{00000000-0005-0000-0000-0000D0000000}"/>
    <cellStyle name="Currency 3 2 2 2" xfId="272" xr:uid="{00000000-0005-0000-0000-0000D1000000}"/>
    <cellStyle name="Currency 3 2 2 2 2" xfId="572" xr:uid="{00000000-0005-0000-0000-0000D2000000}"/>
    <cellStyle name="Currency 3 2 2 3" xfId="537" xr:uid="{00000000-0005-0000-0000-0000D3000000}"/>
    <cellStyle name="Currency 3 2 3" xfId="273" xr:uid="{00000000-0005-0000-0000-0000D4000000}"/>
    <cellStyle name="Currency 3 2 3 2" xfId="573" xr:uid="{00000000-0005-0000-0000-0000D5000000}"/>
    <cellStyle name="Currency 3 2 4" xfId="536" xr:uid="{00000000-0005-0000-0000-0000D6000000}"/>
    <cellStyle name="Currency 3 3" xfId="274" xr:uid="{00000000-0005-0000-0000-0000D7000000}"/>
    <cellStyle name="Currency 4" xfId="43" xr:uid="{00000000-0005-0000-0000-0000D8000000}"/>
    <cellStyle name="Currency 4 2" xfId="275" xr:uid="{00000000-0005-0000-0000-0000D9000000}"/>
    <cellStyle name="Currency 5" xfId="44" xr:uid="{00000000-0005-0000-0000-0000DA000000}"/>
    <cellStyle name="Currency 6" xfId="133" xr:uid="{00000000-0005-0000-0000-0000DB000000}"/>
    <cellStyle name="Currency 6 2" xfId="276" xr:uid="{00000000-0005-0000-0000-0000DC000000}"/>
    <cellStyle name="Currency 6 2 2" xfId="574" xr:uid="{00000000-0005-0000-0000-0000DD000000}"/>
    <cellStyle name="Currency 7" xfId="277" xr:uid="{00000000-0005-0000-0000-0000DE000000}"/>
    <cellStyle name="Currency 8" xfId="278" xr:uid="{00000000-0005-0000-0000-0000DF000000}"/>
    <cellStyle name="Currency 8 2" xfId="279" xr:uid="{00000000-0005-0000-0000-0000E0000000}"/>
    <cellStyle name="Currency 8 2 2" xfId="576" xr:uid="{00000000-0005-0000-0000-0000E1000000}"/>
    <cellStyle name="Currency 8 3" xfId="575" xr:uid="{00000000-0005-0000-0000-0000E2000000}"/>
    <cellStyle name="Currency 9" xfId="280" xr:uid="{00000000-0005-0000-0000-0000E3000000}"/>
    <cellStyle name="Currency 9 2" xfId="281" xr:uid="{00000000-0005-0000-0000-0000E4000000}"/>
    <cellStyle name="Currency 9 2 2" xfId="578" xr:uid="{00000000-0005-0000-0000-0000E5000000}"/>
    <cellStyle name="Currency 9 3" xfId="577" xr:uid="{00000000-0005-0000-0000-0000E6000000}"/>
    <cellStyle name="Currency_Sample Quarterly Report-SCO (5)" xfId="45" xr:uid="{00000000-0005-0000-0000-0000E7000000}"/>
    <cellStyle name="Currency0" xfId="46" xr:uid="{00000000-0005-0000-0000-0000E8000000}"/>
    <cellStyle name="Currency0 2" xfId="282" xr:uid="{00000000-0005-0000-0000-0000E9000000}"/>
    <cellStyle name="currency2" xfId="47" xr:uid="{00000000-0005-0000-0000-0000EA000000}"/>
    <cellStyle name="date" xfId="48" xr:uid="{00000000-0005-0000-0000-0000EB000000}"/>
    <cellStyle name="date 2" xfId="283" xr:uid="{00000000-0005-0000-0000-0000EC000000}"/>
    <cellStyle name="dec0" xfId="49" xr:uid="{00000000-0005-0000-0000-0000ED000000}"/>
    <cellStyle name="dec1" xfId="50" xr:uid="{00000000-0005-0000-0000-0000EE000000}"/>
    <cellStyle name="dec2" xfId="51" xr:uid="{00000000-0005-0000-0000-0000EF000000}"/>
    <cellStyle name="dec3" xfId="52" xr:uid="{00000000-0005-0000-0000-0000F0000000}"/>
    <cellStyle name="dec4" xfId="53" xr:uid="{00000000-0005-0000-0000-0000F1000000}"/>
    <cellStyle name="dec6" xfId="54" xr:uid="{00000000-0005-0000-0000-0000F2000000}"/>
    <cellStyle name="Decimal1" xfId="55" xr:uid="{00000000-0005-0000-0000-0000F3000000}"/>
    <cellStyle name="Decimal2" xfId="56" xr:uid="{00000000-0005-0000-0000-0000F4000000}"/>
    <cellStyle name="Decimal3" xfId="57" xr:uid="{00000000-0005-0000-0000-0000F5000000}"/>
    <cellStyle name="Decimal4" xfId="58" xr:uid="{00000000-0005-0000-0000-0000F6000000}"/>
    <cellStyle name="Decimal5" xfId="59" xr:uid="{00000000-0005-0000-0000-0000F7000000}"/>
    <cellStyle name="DecimalsFour" xfId="284" xr:uid="{00000000-0005-0000-0000-0000F8000000}"/>
    <cellStyle name="DecimalsNone" xfId="285" xr:uid="{00000000-0005-0000-0000-0000F9000000}"/>
    <cellStyle name="DecimalsTwo" xfId="286" xr:uid="{00000000-0005-0000-0000-0000FA000000}"/>
    <cellStyle name="Entered" xfId="60" xr:uid="{00000000-0005-0000-0000-0000FB000000}"/>
    <cellStyle name="Explanatory Text" xfId="61" builtinId="53" customBuiltin="1"/>
    <cellStyle name="Explanatory Text 2" xfId="287" xr:uid="{00000000-0005-0000-0000-0000FD000000}"/>
    <cellStyle name="F2" xfId="288" xr:uid="{00000000-0005-0000-0000-0000FE000000}"/>
    <cellStyle name="F3" xfId="289" xr:uid="{00000000-0005-0000-0000-0000FF000000}"/>
    <cellStyle name="F4" xfId="290" xr:uid="{00000000-0005-0000-0000-000000010000}"/>
    <cellStyle name="F5" xfId="291" xr:uid="{00000000-0005-0000-0000-000001010000}"/>
    <cellStyle name="F6" xfId="292" xr:uid="{00000000-0005-0000-0000-000002010000}"/>
    <cellStyle name="F7" xfId="293" xr:uid="{00000000-0005-0000-0000-000003010000}"/>
    <cellStyle name="F8" xfId="294" xr:uid="{00000000-0005-0000-0000-000004010000}"/>
    <cellStyle name="Fixed" xfId="134" xr:uid="{00000000-0005-0000-0000-000005010000}"/>
    <cellStyle name="Fixed2 - Style2" xfId="295" xr:uid="{00000000-0005-0000-0000-000006010000}"/>
    <cellStyle name="Fixed4 - Style3" xfId="296" xr:uid="{00000000-0005-0000-0000-000007010000}"/>
    <cellStyle name="FRxAmtStyle" xfId="297" xr:uid="{00000000-0005-0000-0000-000008010000}"/>
    <cellStyle name="FRxAmtStyle 2" xfId="298" xr:uid="{00000000-0005-0000-0000-000009010000}"/>
    <cellStyle name="FRxAmtStyle 2 2" xfId="299" xr:uid="{00000000-0005-0000-0000-00000A010000}"/>
    <cellStyle name="FRxAmtStyle 3" xfId="300" xr:uid="{00000000-0005-0000-0000-00000B010000}"/>
    <cellStyle name="FRxAmtStyle 3 2" xfId="301" xr:uid="{00000000-0005-0000-0000-00000C010000}"/>
    <cellStyle name="FRxAmtStyle 3 2 2" xfId="302" xr:uid="{00000000-0005-0000-0000-00000D010000}"/>
    <cellStyle name="FRxAmtStyle 3 3" xfId="303" xr:uid="{00000000-0005-0000-0000-00000E010000}"/>
    <cellStyle name="FRxCurrStyle" xfId="304" xr:uid="{00000000-0005-0000-0000-00000F010000}"/>
    <cellStyle name="FRxCurrStyle 2" xfId="305" xr:uid="{00000000-0005-0000-0000-000010010000}"/>
    <cellStyle name="FRxCurrStyle 2 2" xfId="306" xr:uid="{00000000-0005-0000-0000-000011010000}"/>
    <cellStyle name="FRxCurrStyle 3" xfId="307" xr:uid="{00000000-0005-0000-0000-000012010000}"/>
    <cellStyle name="FRxCurrStyle 3 2" xfId="308" xr:uid="{00000000-0005-0000-0000-000013010000}"/>
    <cellStyle name="FRxCurrStyle 4" xfId="309" xr:uid="{00000000-0005-0000-0000-000014010000}"/>
    <cellStyle name="FRxPcntStyle" xfId="310" xr:uid="{00000000-0005-0000-0000-000015010000}"/>
    <cellStyle name="FRxPcntStyle 2" xfId="311" xr:uid="{00000000-0005-0000-0000-000016010000}"/>
    <cellStyle name="FRxPcntStyle 2 2" xfId="312" xr:uid="{00000000-0005-0000-0000-000017010000}"/>
    <cellStyle name="FRxPcntStyle 3" xfId="313" xr:uid="{00000000-0005-0000-0000-000018010000}"/>
    <cellStyle name="FRxPcntStyle 3 2" xfId="314" xr:uid="{00000000-0005-0000-0000-000019010000}"/>
    <cellStyle name="Good" xfId="62" builtinId="26" customBuiltin="1"/>
    <cellStyle name="Good 2" xfId="315" xr:uid="{00000000-0005-0000-0000-00001B010000}"/>
    <cellStyle name="Good 3" xfId="316" xr:uid="{00000000-0005-0000-0000-00001C010000}"/>
    <cellStyle name="greenl" xfId="63" xr:uid="{00000000-0005-0000-0000-00001D010000}"/>
    <cellStyle name="GreenLet" xfId="64" xr:uid="{00000000-0005-0000-0000-00001E010000}"/>
    <cellStyle name="Grey" xfId="317" xr:uid="{00000000-0005-0000-0000-00001F010000}"/>
    <cellStyle name="grnlet" xfId="65" xr:uid="{00000000-0005-0000-0000-000020010000}"/>
    <cellStyle name="Header1" xfId="66" xr:uid="{00000000-0005-0000-0000-000021010000}"/>
    <cellStyle name="Header1 2" xfId="318" xr:uid="{00000000-0005-0000-0000-000022010000}"/>
    <cellStyle name="Header1 2 2" xfId="534" xr:uid="{00000000-0005-0000-0000-000023010000}"/>
    <cellStyle name="Header1 3" xfId="638" xr:uid="{00000000-0005-0000-0000-000024010000}"/>
    <cellStyle name="Header2" xfId="67" xr:uid="{00000000-0005-0000-0000-000025010000}"/>
    <cellStyle name="Heading" xfId="319" xr:uid="{00000000-0005-0000-0000-000026010000}"/>
    <cellStyle name="Heading 1" xfId="68" builtinId="16" customBuiltin="1"/>
    <cellStyle name="Heading 1 2" xfId="320" xr:uid="{00000000-0005-0000-0000-000028010000}"/>
    <cellStyle name="Heading 1 3" xfId="321" xr:uid="{00000000-0005-0000-0000-000029010000}"/>
    <cellStyle name="Heading 2" xfId="69" builtinId="17" customBuiltin="1"/>
    <cellStyle name="Heading 2 2" xfId="322" xr:uid="{00000000-0005-0000-0000-00002B010000}"/>
    <cellStyle name="Heading 2 3" xfId="323" xr:uid="{00000000-0005-0000-0000-00002C010000}"/>
    <cellStyle name="Heading 3" xfId="70" builtinId="18" customBuiltin="1"/>
    <cellStyle name="Heading 3 2" xfId="121" xr:uid="{00000000-0005-0000-0000-00002E010000}"/>
    <cellStyle name="Heading 3 3" xfId="324" xr:uid="{00000000-0005-0000-0000-00002F010000}"/>
    <cellStyle name="Heading 4" xfId="71" builtinId="19" customBuiltin="1"/>
    <cellStyle name="Heading 4 2" xfId="325" xr:uid="{00000000-0005-0000-0000-000031010000}"/>
    <cellStyle name="Heading 4 3" xfId="326" xr:uid="{00000000-0005-0000-0000-000032010000}"/>
    <cellStyle name="Hyperlink 2" xfId="327" xr:uid="{00000000-0005-0000-0000-000033010000}"/>
    <cellStyle name="Input" xfId="72" builtinId="20" customBuiltin="1"/>
    <cellStyle name="Input [yellow]" xfId="328" xr:uid="{00000000-0005-0000-0000-000035010000}"/>
    <cellStyle name="Input [yellow] 2" xfId="329" xr:uid="{00000000-0005-0000-0000-000036010000}"/>
    <cellStyle name="Input [yellow] 3" xfId="330" xr:uid="{00000000-0005-0000-0000-000037010000}"/>
    <cellStyle name="Input 2" xfId="331" xr:uid="{00000000-0005-0000-0000-000038010000}"/>
    <cellStyle name="Input 2 2" xfId="332" xr:uid="{00000000-0005-0000-0000-000039010000}"/>
    <cellStyle name="Input 2 2 2" xfId="333" xr:uid="{00000000-0005-0000-0000-00003A010000}"/>
    <cellStyle name="Input 2 3" xfId="334" xr:uid="{00000000-0005-0000-0000-00003B010000}"/>
    <cellStyle name="Input 2 3 2" xfId="335" xr:uid="{00000000-0005-0000-0000-00003C010000}"/>
    <cellStyle name="Input 2 4" xfId="336" xr:uid="{00000000-0005-0000-0000-00003D010000}"/>
    <cellStyle name="Input 3" xfId="337" xr:uid="{00000000-0005-0000-0000-00003E010000}"/>
    <cellStyle name="Input 3 2" xfId="338" xr:uid="{00000000-0005-0000-0000-00003F010000}"/>
    <cellStyle name="Input 4" xfId="339" xr:uid="{00000000-0005-0000-0000-000040010000}"/>
    <cellStyle name="Left" xfId="73" xr:uid="{00000000-0005-0000-0000-000041010000}"/>
    <cellStyle name="Level 1" xfId="340" xr:uid="{00000000-0005-0000-0000-000042010000}"/>
    <cellStyle name="Level 2" xfId="341" xr:uid="{00000000-0005-0000-0000-000043010000}"/>
    <cellStyle name="Level 3" xfId="342" xr:uid="{00000000-0005-0000-0000-000044010000}"/>
    <cellStyle name="Linked Cell" xfId="74" builtinId="24" customBuiltin="1"/>
    <cellStyle name="Linked Cell 2" xfId="343" xr:uid="{00000000-0005-0000-0000-000046010000}"/>
    <cellStyle name="Linked Cell 3" xfId="344" xr:uid="{00000000-0005-0000-0000-000047010000}"/>
    <cellStyle name="Map Labels" xfId="75" xr:uid="{00000000-0005-0000-0000-000048010000}"/>
    <cellStyle name="Map Legend" xfId="76" xr:uid="{00000000-0005-0000-0000-000049010000}"/>
    <cellStyle name="Neutral" xfId="77" builtinId="28" customBuiltin="1"/>
    <cellStyle name="Neutral 2" xfId="345" xr:uid="{00000000-0005-0000-0000-00004B010000}"/>
    <cellStyle name="Neutral 3" xfId="346" xr:uid="{00000000-0005-0000-0000-00004C010000}"/>
    <cellStyle name="No Border" xfId="347" xr:uid="{00000000-0005-0000-0000-00004D010000}"/>
    <cellStyle name="Normal" xfId="0" builtinId="0"/>
    <cellStyle name="Normal - Style1" xfId="348" xr:uid="{00000000-0005-0000-0000-00004F010000}"/>
    <cellStyle name="Normal - Style2" xfId="349" xr:uid="{00000000-0005-0000-0000-000050010000}"/>
    <cellStyle name="Normal - Style3" xfId="350" xr:uid="{00000000-0005-0000-0000-000051010000}"/>
    <cellStyle name="Normal - Style4" xfId="351" xr:uid="{00000000-0005-0000-0000-000052010000}"/>
    <cellStyle name="Normal - Style5" xfId="352" xr:uid="{00000000-0005-0000-0000-000053010000}"/>
    <cellStyle name="Normal - Style6" xfId="353" xr:uid="{00000000-0005-0000-0000-000054010000}"/>
    <cellStyle name="Normal - Style7" xfId="354" xr:uid="{00000000-0005-0000-0000-000055010000}"/>
    <cellStyle name="Normal - Style8" xfId="355" xr:uid="{00000000-0005-0000-0000-000056010000}"/>
    <cellStyle name="Normal 10" xfId="356" xr:uid="{00000000-0005-0000-0000-000057010000}"/>
    <cellStyle name="Normal 10 2" xfId="357" xr:uid="{00000000-0005-0000-0000-000058010000}"/>
    <cellStyle name="Normal 10 3" xfId="358" xr:uid="{00000000-0005-0000-0000-000059010000}"/>
    <cellStyle name="Normal 10 4" xfId="359" xr:uid="{00000000-0005-0000-0000-00005A010000}"/>
    <cellStyle name="Normal 10 5" xfId="651" xr:uid="{00000000-0005-0000-0000-00005B010000}"/>
    <cellStyle name="Normal 11" xfId="360" xr:uid="{00000000-0005-0000-0000-00005C010000}"/>
    <cellStyle name="Normal 12" xfId="140" xr:uid="{00000000-0005-0000-0000-00005D010000}"/>
    <cellStyle name="Normal 12 2" xfId="361" xr:uid="{00000000-0005-0000-0000-00005E010000}"/>
    <cellStyle name="Normal 13" xfId="362" xr:uid="{00000000-0005-0000-0000-00005F010000}"/>
    <cellStyle name="Normal 14" xfId="363" xr:uid="{00000000-0005-0000-0000-000060010000}"/>
    <cellStyle name="Normal 14 2" xfId="364" xr:uid="{00000000-0005-0000-0000-000061010000}"/>
    <cellStyle name="Normal 14 2 2" xfId="589" xr:uid="{00000000-0005-0000-0000-000062010000}"/>
    <cellStyle name="Normal 14 3" xfId="588" xr:uid="{00000000-0005-0000-0000-000063010000}"/>
    <cellStyle name="Normal 15" xfId="365" xr:uid="{00000000-0005-0000-0000-000064010000}"/>
    <cellStyle name="Normal 16" xfId="366" xr:uid="{00000000-0005-0000-0000-000065010000}"/>
    <cellStyle name="Normal 17" xfId="367" xr:uid="{00000000-0005-0000-0000-000066010000}"/>
    <cellStyle name="Normal 17 2" xfId="590" xr:uid="{00000000-0005-0000-0000-000067010000}"/>
    <cellStyle name="Normal 18" xfId="368" xr:uid="{00000000-0005-0000-0000-000068010000}"/>
    <cellStyle name="Normal 18 2" xfId="369" xr:uid="{00000000-0005-0000-0000-000069010000}"/>
    <cellStyle name="Normal 18 2 2" xfId="592" xr:uid="{00000000-0005-0000-0000-00006A010000}"/>
    <cellStyle name="Normal 18 3" xfId="370" xr:uid="{00000000-0005-0000-0000-00006B010000}"/>
    <cellStyle name="Normal 18 3 2" xfId="593" xr:uid="{00000000-0005-0000-0000-00006C010000}"/>
    <cellStyle name="Normal 18 4" xfId="371" xr:uid="{00000000-0005-0000-0000-00006D010000}"/>
    <cellStyle name="Normal 18 4 2" xfId="594" xr:uid="{00000000-0005-0000-0000-00006E010000}"/>
    <cellStyle name="Normal 18 5" xfId="591" xr:uid="{00000000-0005-0000-0000-00006F010000}"/>
    <cellStyle name="Normal 19" xfId="372" xr:uid="{00000000-0005-0000-0000-000070010000}"/>
    <cellStyle name="Normal 2" xfId="78" xr:uid="{00000000-0005-0000-0000-000071010000}"/>
    <cellStyle name="Normal 2 2" xfId="122" xr:uid="{00000000-0005-0000-0000-000072010000}"/>
    <cellStyle name="Normal 2 2 2" xfId="373" xr:uid="{00000000-0005-0000-0000-000073010000}"/>
    <cellStyle name="Normal 2 2 3" xfId="374" xr:uid="{00000000-0005-0000-0000-000074010000}"/>
    <cellStyle name="Normal 2 2 3 2" xfId="595" xr:uid="{00000000-0005-0000-0000-000075010000}"/>
    <cellStyle name="Normal 2 2 4" xfId="375" xr:uid="{00000000-0005-0000-0000-000076010000}"/>
    <cellStyle name="Normal 2 2 4 2" xfId="376" xr:uid="{00000000-0005-0000-0000-000077010000}"/>
    <cellStyle name="Normal 2 2 4 2 2" xfId="597" xr:uid="{00000000-0005-0000-0000-000078010000}"/>
    <cellStyle name="Normal 2 2 4 3" xfId="377" xr:uid="{00000000-0005-0000-0000-000079010000}"/>
    <cellStyle name="Normal 2 2 4 3 2" xfId="598" xr:uid="{00000000-0005-0000-0000-00007A010000}"/>
    <cellStyle name="Normal 2 2 4 4" xfId="378" xr:uid="{00000000-0005-0000-0000-00007B010000}"/>
    <cellStyle name="Normal 2 2 4 4 2" xfId="599" xr:uid="{00000000-0005-0000-0000-00007C010000}"/>
    <cellStyle name="Normal 2 2 4 5" xfId="596" xr:uid="{00000000-0005-0000-0000-00007D010000}"/>
    <cellStyle name="Normal 2 3" xfId="379" xr:uid="{00000000-0005-0000-0000-00007E010000}"/>
    <cellStyle name="Normal 2 4" xfId="380" xr:uid="{00000000-0005-0000-0000-00007F010000}"/>
    <cellStyle name="Normal 2_PREV MCRMCD DX_04 23 12" xfId="381" xr:uid="{00000000-0005-0000-0000-000080010000}"/>
    <cellStyle name="Normal 20" xfId="382" xr:uid="{00000000-0005-0000-0000-000081010000}"/>
    <cellStyle name="Normal 20 2" xfId="600" xr:uid="{00000000-0005-0000-0000-000082010000}"/>
    <cellStyle name="Normal 21" xfId="383" xr:uid="{00000000-0005-0000-0000-000083010000}"/>
    <cellStyle name="Normal 21 2" xfId="601" xr:uid="{00000000-0005-0000-0000-000084010000}"/>
    <cellStyle name="Normal 22" xfId="529" xr:uid="{00000000-0005-0000-0000-000085010000}"/>
    <cellStyle name="Normal 23" xfId="533" xr:uid="{00000000-0005-0000-0000-000086010000}"/>
    <cellStyle name="Normal 24" xfId="607" xr:uid="{00000000-0005-0000-0000-000087010000}"/>
    <cellStyle name="Normal 25" xfId="115" xr:uid="{00000000-0005-0000-0000-000088010000}"/>
    <cellStyle name="Normal 26" xfId="629" xr:uid="{00000000-0005-0000-0000-000089010000}"/>
    <cellStyle name="Normal 27" xfId="642" xr:uid="{00000000-0005-0000-0000-00008A010000}"/>
    <cellStyle name="Normal 28" xfId="116" xr:uid="{00000000-0005-0000-0000-00008B010000}"/>
    <cellStyle name="Normal 29" xfId="652" xr:uid="{00000000-0005-0000-0000-00008C010000}"/>
    <cellStyle name="Normal 3" xfId="79" xr:uid="{00000000-0005-0000-0000-00008D010000}"/>
    <cellStyle name="Normal 3 2" xfId="123" xr:uid="{00000000-0005-0000-0000-00008E010000}"/>
    <cellStyle name="Normal 3 2 2" xfId="135" xr:uid="{00000000-0005-0000-0000-00008F010000}"/>
    <cellStyle name="Normal 3 2 2 2" xfId="384" xr:uid="{00000000-0005-0000-0000-000090010000}"/>
    <cellStyle name="Normal 3 2 2 2 2" xfId="602" xr:uid="{00000000-0005-0000-0000-000091010000}"/>
    <cellStyle name="Normal 3 2 2 3" xfId="538" xr:uid="{00000000-0005-0000-0000-000092010000}"/>
    <cellStyle name="Normal 3 2 3" xfId="385" xr:uid="{00000000-0005-0000-0000-000093010000}"/>
    <cellStyle name="Normal 3 2 3 2" xfId="603" xr:uid="{00000000-0005-0000-0000-000094010000}"/>
    <cellStyle name="Normal 3 3" xfId="136" xr:uid="{00000000-0005-0000-0000-000095010000}"/>
    <cellStyle name="Normal 3 3 2" xfId="386" xr:uid="{00000000-0005-0000-0000-000096010000}"/>
    <cellStyle name="Normal 30" xfId="653" xr:uid="{00000000-0005-0000-0000-000097010000}"/>
    <cellStyle name="Normal 32" xfId="656" xr:uid="{B469882A-141D-4BDF-BB62-447B5977DD6C}"/>
    <cellStyle name="Normal 4" xfId="80" xr:uid="{00000000-0005-0000-0000-000098010000}"/>
    <cellStyle name="Normal 4 2" xfId="387" xr:uid="{00000000-0005-0000-0000-000099010000}"/>
    <cellStyle name="Normal 4 3" xfId="388" xr:uid="{00000000-0005-0000-0000-00009A010000}"/>
    <cellStyle name="Normal 5" xfId="119" xr:uid="{00000000-0005-0000-0000-00009B010000}"/>
    <cellStyle name="Normal 5 2" xfId="137" xr:uid="{00000000-0005-0000-0000-00009C010000}"/>
    <cellStyle name="Normal 5 2 2" xfId="389" xr:uid="{00000000-0005-0000-0000-00009D010000}"/>
    <cellStyle name="Normal 5 2 2 2" xfId="604" xr:uid="{00000000-0005-0000-0000-00009E010000}"/>
    <cellStyle name="Normal 5 2 3" xfId="539" xr:uid="{00000000-0005-0000-0000-00009F010000}"/>
    <cellStyle name="Normal 5 3" xfId="390" xr:uid="{00000000-0005-0000-0000-0000A0010000}"/>
    <cellStyle name="Normal 5 3 2" xfId="605" xr:uid="{00000000-0005-0000-0000-0000A1010000}"/>
    <cellStyle name="Normal 6" xfId="138" xr:uid="{00000000-0005-0000-0000-0000A2010000}"/>
    <cellStyle name="Normal 6 2" xfId="391" xr:uid="{00000000-0005-0000-0000-0000A3010000}"/>
    <cellStyle name="Normal 7" xfId="139" xr:uid="{00000000-0005-0000-0000-0000A4010000}"/>
    <cellStyle name="Normal 7 2" xfId="392" xr:uid="{00000000-0005-0000-0000-0000A5010000}"/>
    <cellStyle name="Normal 8" xfId="393" xr:uid="{00000000-0005-0000-0000-0000A6010000}"/>
    <cellStyle name="Normal 9" xfId="394" xr:uid="{00000000-0005-0000-0000-0000A7010000}"/>
    <cellStyle name="Normal 9 2" xfId="395" xr:uid="{00000000-0005-0000-0000-0000A8010000}"/>
    <cellStyle name="Normal_Delaware FRR Template v3 Q3 Revised" xfId="117" xr:uid="{00000000-0005-0000-0000-0000A9010000}"/>
    <cellStyle name="Normal_Loss Ratio Report Template" xfId="81" xr:uid="{00000000-0005-0000-0000-0000AA010000}"/>
    <cellStyle name="Normal_MBHP Appendix E-finReport 4-30-03" xfId="82" xr:uid="{00000000-0005-0000-0000-0000AB010000}"/>
    <cellStyle name="Normal_Report 5 Income Statement Template-V3" xfId="83" xr:uid="{00000000-0005-0000-0000-0000AC010000}"/>
    <cellStyle name="Normal_report~12" xfId="141" xr:uid="{00000000-0005-0000-0000-0000AD010000}"/>
    <cellStyle name="Normal_Sheet1" xfId="118" xr:uid="{00000000-0005-0000-0000-0000AE010000}"/>
    <cellStyle name="Note" xfId="84" builtinId="10" customBuiltin="1"/>
    <cellStyle name="Note 2" xfId="124" xr:uid="{00000000-0005-0000-0000-0000B0010000}"/>
    <cellStyle name="Note 2 2" xfId="396" xr:uid="{00000000-0005-0000-0000-0000B1010000}"/>
    <cellStyle name="Note 2 2 2" xfId="606" xr:uid="{00000000-0005-0000-0000-0000B2010000}"/>
    <cellStyle name="Note 3" xfId="397" xr:uid="{00000000-0005-0000-0000-0000B3010000}"/>
    <cellStyle name="Note 3 2" xfId="398" xr:uid="{00000000-0005-0000-0000-0000B4010000}"/>
    <cellStyle name="Note 3 2 2" xfId="399" xr:uid="{00000000-0005-0000-0000-0000B5010000}"/>
    <cellStyle name="Note 3 3" xfId="400" xr:uid="{00000000-0005-0000-0000-0000B6010000}"/>
    <cellStyle name="Note 3 3 2" xfId="401" xr:uid="{00000000-0005-0000-0000-0000B7010000}"/>
    <cellStyle name="Note 3 4" xfId="402" xr:uid="{00000000-0005-0000-0000-0000B8010000}"/>
    <cellStyle name="Note 4" xfId="403" xr:uid="{00000000-0005-0000-0000-0000B9010000}"/>
    <cellStyle name="Number" xfId="404" xr:uid="{00000000-0005-0000-0000-0000BA010000}"/>
    <cellStyle name="Output" xfId="85" builtinId="21" customBuiltin="1"/>
    <cellStyle name="Output 2" xfId="405" xr:uid="{00000000-0005-0000-0000-0000BC010000}"/>
    <cellStyle name="Output 2 2" xfId="406" xr:uid="{00000000-0005-0000-0000-0000BD010000}"/>
    <cellStyle name="Output 2 2 2" xfId="407" xr:uid="{00000000-0005-0000-0000-0000BE010000}"/>
    <cellStyle name="Output 2 3" xfId="408" xr:uid="{00000000-0005-0000-0000-0000BF010000}"/>
    <cellStyle name="Output 2 3 2" xfId="409" xr:uid="{00000000-0005-0000-0000-0000C0010000}"/>
    <cellStyle name="Output 2 4" xfId="410" xr:uid="{00000000-0005-0000-0000-0000C1010000}"/>
    <cellStyle name="Output 3" xfId="411" xr:uid="{00000000-0005-0000-0000-0000C2010000}"/>
    <cellStyle name="Output 3 2" xfId="412" xr:uid="{00000000-0005-0000-0000-0000C3010000}"/>
    <cellStyle name="Output 4" xfId="413" xr:uid="{00000000-0005-0000-0000-0000C4010000}"/>
    <cellStyle name="Output Amounts" xfId="414" xr:uid="{00000000-0005-0000-0000-0000C5010000}"/>
    <cellStyle name="PB Table Heading" xfId="415" xr:uid="{00000000-0005-0000-0000-0000C6010000}"/>
    <cellStyle name="PB Table Highlight1" xfId="416" xr:uid="{00000000-0005-0000-0000-0000C7010000}"/>
    <cellStyle name="PB Table Highlight2" xfId="417" xr:uid="{00000000-0005-0000-0000-0000C8010000}"/>
    <cellStyle name="PB Table Highlight3" xfId="418" xr:uid="{00000000-0005-0000-0000-0000C9010000}"/>
    <cellStyle name="PB Table Standard Row" xfId="419" xr:uid="{00000000-0005-0000-0000-0000CA010000}"/>
    <cellStyle name="PB Table Standard Row 2" xfId="420" xr:uid="{00000000-0005-0000-0000-0000CB010000}"/>
    <cellStyle name="PB Table Standard Row 3" xfId="421" xr:uid="{00000000-0005-0000-0000-0000CC010000}"/>
    <cellStyle name="PB Table Standard Row 4" xfId="422" xr:uid="{00000000-0005-0000-0000-0000CD010000}"/>
    <cellStyle name="PB Table Standard Row 5" xfId="423" xr:uid="{00000000-0005-0000-0000-0000CE010000}"/>
    <cellStyle name="PB Table Subtotal Row" xfId="424" xr:uid="{00000000-0005-0000-0000-0000CF010000}"/>
    <cellStyle name="PB Table Subtotal Row 10" xfId="544" xr:uid="{00000000-0005-0000-0000-0000D0010000}"/>
    <cellStyle name="PB Table Subtotal Row 2" xfId="425" xr:uid="{00000000-0005-0000-0000-0000D1010000}"/>
    <cellStyle name="PB Table Subtotal Row 2 2" xfId="426" xr:uid="{00000000-0005-0000-0000-0000D2010000}"/>
    <cellStyle name="PB Table Subtotal Row 2 2 2" xfId="427" xr:uid="{00000000-0005-0000-0000-0000D3010000}"/>
    <cellStyle name="PB Table Subtotal Row 2 2 2 2" xfId="611" xr:uid="{00000000-0005-0000-0000-0000D4010000}"/>
    <cellStyle name="PB Table Subtotal Row 2 2 2 3" xfId="640" xr:uid="{00000000-0005-0000-0000-0000D5010000}"/>
    <cellStyle name="PB Table Subtotal Row 2 2 2 4" xfId="645" xr:uid="{00000000-0005-0000-0000-0000D6010000}"/>
    <cellStyle name="PB Table Subtotal Row 2 2 3" xfId="610" xr:uid="{00000000-0005-0000-0000-0000D7010000}"/>
    <cellStyle name="PB Table Subtotal Row 2 2 4" xfId="639" xr:uid="{00000000-0005-0000-0000-0000D8010000}"/>
    <cellStyle name="PB Table Subtotal Row 2 2 5" xfId="644" xr:uid="{00000000-0005-0000-0000-0000D9010000}"/>
    <cellStyle name="PB Table Subtotal Row 2 3" xfId="428" xr:uid="{00000000-0005-0000-0000-0000DA010000}"/>
    <cellStyle name="PB Table Subtotal Row 2 3 2" xfId="612" xr:uid="{00000000-0005-0000-0000-0000DB010000}"/>
    <cellStyle name="PB Table Subtotal Row 2 3 3" xfId="540" xr:uid="{00000000-0005-0000-0000-0000DC010000}"/>
    <cellStyle name="PB Table Subtotal Row 2 3 4" xfId="646" xr:uid="{00000000-0005-0000-0000-0000DD010000}"/>
    <cellStyle name="PB Table Subtotal Row 2 4" xfId="609" xr:uid="{00000000-0005-0000-0000-0000DE010000}"/>
    <cellStyle name="PB Table Subtotal Row 2 5" xfId="580" xr:uid="{00000000-0005-0000-0000-0000DF010000}"/>
    <cellStyle name="PB Table Subtotal Row 2 6" xfId="643" xr:uid="{00000000-0005-0000-0000-0000E0010000}"/>
    <cellStyle name="PB Table Subtotal Row 3" xfId="429" xr:uid="{00000000-0005-0000-0000-0000E1010000}"/>
    <cellStyle name="PB Table Subtotal Row 3 2" xfId="430" xr:uid="{00000000-0005-0000-0000-0000E2010000}"/>
    <cellStyle name="PB Table Subtotal Row 3 2 2" xfId="614" xr:uid="{00000000-0005-0000-0000-0000E3010000}"/>
    <cellStyle name="PB Table Subtotal Row 3 2 3" xfId="532" xr:uid="{00000000-0005-0000-0000-0000E4010000}"/>
    <cellStyle name="PB Table Subtotal Row 3 2 4" xfId="531" xr:uid="{00000000-0005-0000-0000-0000E5010000}"/>
    <cellStyle name="PB Table Subtotal Row 3 3" xfId="613" xr:uid="{00000000-0005-0000-0000-0000E6010000}"/>
    <cellStyle name="PB Table Subtotal Row 3 4" xfId="581" xr:uid="{00000000-0005-0000-0000-0000E7010000}"/>
    <cellStyle name="PB Table Subtotal Row 3 5" xfId="543" xr:uid="{00000000-0005-0000-0000-0000E8010000}"/>
    <cellStyle name="PB Table Subtotal Row 4" xfId="431" xr:uid="{00000000-0005-0000-0000-0000E9010000}"/>
    <cellStyle name="PB Table Subtotal Row 4 2" xfId="432" xr:uid="{00000000-0005-0000-0000-0000EA010000}"/>
    <cellStyle name="PB Table Subtotal Row 4 2 2" xfId="616" xr:uid="{00000000-0005-0000-0000-0000EB010000}"/>
    <cellStyle name="PB Table Subtotal Row 4 2 3" xfId="583" xr:uid="{00000000-0005-0000-0000-0000EC010000}"/>
    <cellStyle name="PB Table Subtotal Row 4 2 4" xfId="648" xr:uid="{00000000-0005-0000-0000-0000ED010000}"/>
    <cellStyle name="PB Table Subtotal Row 4 3" xfId="615" xr:uid="{00000000-0005-0000-0000-0000EE010000}"/>
    <cellStyle name="PB Table Subtotal Row 4 4" xfId="582" xr:uid="{00000000-0005-0000-0000-0000EF010000}"/>
    <cellStyle name="PB Table Subtotal Row 4 5" xfId="647" xr:uid="{00000000-0005-0000-0000-0000F0010000}"/>
    <cellStyle name="PB Table Subtotal Row 5" xfId="433" xr:uid="{00000000-0005-0000-0000-0000F1010000}"/>
    <cellStyle name="PB Table Subtotal Row 5 2" xfId="434" xr:uid="{00000000-0005-0000-0000-0000F2010000}"/>
    <cellStyle name="PB Table Subtotal Row 5 2 2" xfId="618" xr:uid="{00000000-0005-0000-0000-0000F3010000}"/>
    <cellStyle name="PB Table Subtotal Row 5 2 3" xfId="585" xr:uid="{00000000-0005-0000-0000-0000F4010000}"/>
    <cellStyle name="PB Table Subtotal Row 5 2 4" xfId="541" xr:uid="{00000000-0005-0000-0000-0000F5010000}"/>
    <cellStyle name="PB Table Subtotal Row 5 3" xfId="617" xr:uid="{00000000-0005-0000-0000-0000F6010000}"/>
    <cellStyle name="PB Table Subtotal Row 5 4" xfId="584" xr:uid="{00000000-0005-0000-0000-0000F7010000}"/>
    <cellStyle name="PB Table Subtotal Row 5 5" xfId="542" xr:uid="{00000000-0005-0000-0000-0000F8010000}"/>
    <cellStyle name="PB Table Subtotal Row 6" xfId="435" xr:uid="{00000000-0005-0000-0000-0000F9010000}"/>
    <cellStyle name="PB Table Subtotal Row 6 2" xfId="436" xr:uid="{00000000-0005-0000-0000-0000FA010000}"/>
    <cellStyle name="PB Table Subtotal Row 6 2 2" xfId="620" xr:uid="{00000000-0005-0000-0000-0000FB010000}"/>
    <cellStyle name="PB Table Subtotal Row 6 2 3" xfId="587" xr:uid="{00000000-0005-0000-0000-0000FC010000}"/>
    <cellStyle name="PB Table Subtotal Row 6 2 4" xfId="530" xr:uid="{00000000-0005-0000-0000-0000FD010000}"/>
    <cellStyle name="PB Table Subtotal Row 6 3" xfId="619" xr:uid="{00000000-0005-0000-0000-0000FE010000}"/>
    <cellStyle name="PB Table Subtotal Row 6 4" xfId="586" xr:uid="{00000000-0005-0000-0000-0000FF010000}"/>
    <cellStyle name="PB Table Subtotal Row 6 5" xfId="649" xr:uid="{00000000-0005-0000-0000-000000020000}"/>
    <cellStyle name="PB Table Subtotal Row 7" xfId="437" xr:uid="{00000000-0005-0000-0000-000001020000}"/>
    <cellStyle name="PB Table Subtotal Row 7 2" xfId="621" xr:uid="{00000000-0005-0000-0000-000002020000}"/>
    <cellStyle name="PB Table Subtotal Row 7 3" xfId="641" xr:uid="{00000000-0005-0000-0000-000003020000}"/>
    <cellStyle name="PB Table Subtotal Row 7 4" xfId="650" xr:uid="{00000000-0005-0000-0000-000004020000}"/>
    <cellStyle name="PB Table Subtotal Row 8" xfId="608" xr:uid="{00000000-0005-0000-0000-000005020000}"/>
    <cellStyle name="PB Table Subtotal Row 9" xfId="579" xr:uid="{00000000-0005-0000-0000-000006020000}"/>
    <cellStyle name="PB Table Total Row" xfId="438" xr:uid="{00000000-0005-0000-0000-000007020000}"/>
    <cellStyle name="per0" xfId="86" xr:uid="{00000000-0005-0000-0000-000008020000}"/>
    <cellStyle name="per1" xfId="87" xr:uid="{00000000-0005-0000-0000-000009020000}"/>
    <cellStyle name="Per1rgt" xfId="88" xr:uid="{00000000-0005-0000-0000-00000A020000}"/>
    <cellStyle name="per2" xfId="89" xr:uid="{00000000-0005-0000-0000-00000B020000}"/>
    <cellStyle name="Percen - Style4" xfId="439" xr:uid="{00000000-0005-0000-0000-00000C020000}"/>
    <cellStyle name="Percent" xfId="90" builtinId="5"/>
    <cellStyle name="Percent [2]" xfId="440" xr:uid="{00000000-0005-0000-0000-00000E020000}"/>
    <cellStyle name="Percent 10" xfId="441" xr:uid="{00000000-0005-0000-0000-00000F020000}"/>
    <cellStyle name="Percent 10 2" xfId="622" xr:uid="{00000000-0005-0000-0000-000010020000}"/>
    <cellStyle name="Percent 11" xfId="442" xr:uid="{00000000-0005-0000-0000-000011020000}"/>
    <cellStyle name="Percent 11 2" xfId="623" xr:uid="{00000000-0005-0000-0000-000012020000}"/>
    <cellStyle name="Percent 12" xfId="443" xr:uid="{00000000-0005-0000-0000-000013020000}"/>
    <cellStyle name="Percent 12 2" xfId="444" xr:uid="{00000000-0005-0000-0000-000014020000}"/>
    <cellStyle name="Percent 12 2 2" xfId="625" xr:uid="{00000000-0005-0000-0000-000015020000}"/>
    <cellStyle name="Percent 12 3" xfId="445" xr:uid="{00000000-0005-0000-0000-000016020000}"/>
    <cellStyle name="Percent 12 3 2" xfId="626" xr:uid="{00000000-0005-0000-0000-000017020000}"/>
    <cellStyle name="Percent 12 4" xfId="446" xr:uid="{00000000-0005-0000-0000-000018020000}"/>
    <cellStyle name="Percent 12 4 2" xfId="627" xr:uid="{00000000-0005-0000-0000-000019020000}"/>
    <cellStyle name="Percent 12 5" xfId="624" xr:uid="{00000000-0005-0000-0000-00001A020000}"/>
    <cellStyle name="Percent 13" xfId="655" xr:uid="{00000000-0005-0000-0000-00001B020000}"/>
    <cellStyle name="Percent 2" xfId="91" xr:uid="{00000000-0005-0000-0000-00001C020000}"/>
    <cellStyle name="Percent 2 2" xfId="447" xr:uid="{00000000-0005-0000-0000-00001D020000}"/>
    <cellStyle name="Percent 2 2 2" xfId="448" xr:uid="{00000000-0005-0000-0000-00001E020000}"/>
    <cellStyle name="Percent 2 2 3" xfId="449" xr:uid="{00000000-0005-0000-0000-00001F020000}"/>
    <cellStyle name="Percent 2 2 3 2" xfId="628" xr:uid="{00000000-0005-0000-0000-000020020000}"/>
    <cellStyle name="Percent 2 3" xfId="450" xr:uid="{00000000-0005-0000-0000-000021020000}"/>
    <cellStyle name="Percent 2 4" xfId="451" xr:uid="{00000000-0005-0000-0000-000022020000}"/>
    <cellStyle name="Percent 3" xfId="92" xr:uid="{00000000-0005-0000-0000-000023020000}"/>
    <cellStyle name="Percent 3 2" xfId="125" xr:uid="{00000000-0005-0000-0000-000024020000}"/>
    <cellStyle name="Percent 3 3" xfId="452" xr:uid="{00000000-0005-0000-0000-000025020000}"/>
    <cellStyle name="Percent 4" xfId="93" xr:uid="{00000000-0005-0000-0000-000026020000}"/>
    <cellStyle name="Percent 5" xfId="453" xr:uid="{00000000-0005-0000-0000-000027020000}"/>
    <cellStyle name="Percent 5 2" xfId="454" xr:uid="{00000000-0005-0000-0000-000028020000}"/>
    <cellStyle name="Percent 5 2 2" xfId="631" xr:uid="{00000000-0005-0000-0000-000029020000}"/>
    <cellStyle name="Percent 5 3" xfId="630" xr:uid="{00000000-0005-0000-0000-00002A020000}"/>
    <cellStyle name="Percent 6" xfId="455" xr:uid="{00000000-0005-0000-0000-00002B020000}"/>
    <cellStyle name="Percent 7" xfId="456" xr:uid="{00000000-0005-0000-0000-00002C020000}"/>
    <cellStyle name="Percent 7 2" xfId="457" xr:uid="{00000000-0005-0000-0000-00002D020000}"/>
    <cellStyle name="Percent 7 2 2" xfId="633" xr:uid="{00000000-0005-0000-0000-00002E020000}"/>
    <cellStyle name="Percent 7 3" xfId="632" xr:uid="{00000000-0005-0000-0000-00002F020000}"/>
    <cellStyle name="Percent 8" xfId="458" xr:uid="{00000000-0005-0000-0000-000030020000}"/>
    <cellStyle name="Percent 8 2" xfId="459" xr:uid="{00000000-0005-0000-0000-000031020000}"/>
    <cellStyle name="Percent 8 2 2" xfId="635" xr:uid="{00000000-0005-0000-0000-000032020000}"/>
    <cellStyle name="Percent 8 3" xfId="634" xr:uid="{00000000-0005-0000-0000-000033020000}"/>
    <cellStyle name="Percent 9" xfId="460" xr:uid="{00000000-0005-0000-0000-000034020000}"/>
    <cellStyle name="Percent 9 2" xfId="461" xr:uid="{00000000-0005-0000-0000-000035020000}"/>
    <cellStyle name="Percent 9 2 2" xfId="637" xr:uid="{00000000-0005-0000-0000-000036020000}"/>
    <cellStyle name="Percent 9 3" xfId="636" xr:uid="{00000000-0005-0000-0000-000037020000}"/>
    <cellStyle name="Percent1" xfId="94" xr:uid="{00000000-0005-0000-0000-000038020000}"/>
    <cellStyle name="Percent1ormal" xfId="95" xr:uid="{00000000-0005-0000-0000-000039020000}"/>
    <cellStyle name="Percent2" xfId="96" xr:uid="{00000000-0005-0000-0000-00003A020000}"/>
    <cellStyle name="PSChar" xfId="462" xr:uid="{00000000-0005-0000-0000-00003B020000}"/>
    <cellStyle name="PSDate" xfId="463" xr:uid="{00000000-0005-0000-0000-00003C020000}"/>
    <cellStyle name="PSDec" xfId="464" xr:uid="{00000000-0005-0000-0000-00003D020000}"/>
    <cellStyle name="PSHeading" xfId="465" xr:uid="{00000000-0005-0000-0000-00003E020000}"/>
    <cellStyle name="PSInt" xfId="466" xr:uid="{00000000-0005-0000-0000-00003F020000}"/>
    <cellStyle name="PSSpacer" xfId="467" xr:uid="{00000000-0005-0000-0000-000040020000}"/>
    <cellStyle name="purple" xfId="97" xr:uid="{00000000-0005-0000-0000-000041020000}"/>
    <cellStyle name="red" xfId="98" xr:uid="{00000000-0005-0000-0000-000042020000}"/>
    <cellStyle name="redl" xfId="99" xr:uid="{00000000-0005-0000-0000-000043020000}"/>
    <cellStyle name="redlet" xfId="100" xr:uid="{00000000-0005-0000-0000-000044020000}"/>
    <cellStyle name="redr" xfId="101" xr:uid="{00000000-0005-0000-0000-000045020000}"/>
    <cellStyle name="redshade" xfId="102" xr:uid="{00000000-0005-0000-0000-000046020000}"/>
    <cellStyle name="RevList" xfId="103" xr:uid="{00000000-0005-0000-0000-000047020000}"/>
    <cellStyle name="Right" xfId="104" xr:uid="{00000000-0005-0000-0000-000048020000}"/>
    <cellStyle name="Single Border" xfId="468" xr:uid="{00000000-0005-0000-0000-000049020000}"/>
    <cellStyle name="Single Border 2" xfId="469" xr:uid="{00000000-0005-0000-0000-00004A020000}"/>
    <cellStyle name="Single Border 2 2" xfId="470" xr:uid="{00000000-0005-0000-0000-00004B020000}"/>
    <cellStyle name="Single Border 2 3" xfId="471" xr:uid="{00000000-0005-0000-0000-00004C020000}"/>
    <cellStyle name="Single Border 2 4" xfId="472" xr:uid="{00000000-0005-0000-0000-00004D020000}"/>
    <cellStyle name="Single Border 3" xfId="473" xr:uid="{00000000-0005-0000-0000-00004E020000}"/>
    <cellStyle name="Single Border 3 2" xfId="474" xr:uid="{00000000-0005-0000-0000-00004F020000}"/>
    <cellStyle name="Single Border 3 3" xfId="475" xr:uid="{00000000-0005-0000-0000-000050020000}"/>
    <cellStyle name="Single Border 3 4" xfId="476" xr:uid="{00000000-0005-0000-0000-000051020000}"/>
    <cellStyle name="Single Border 4" xfId="477" xr:uid="{00000000-0005-0000-0000-000052020000}"/>
    <cellStyle name="Single Border 4 2" xfId="478" xr:uid="{00000000-0005-0000-0000-000053020000}"/>
    <cellStyle name="Single Border 4 3" xfId="479" xr:uid="{00000000-0005-0000-0000-000054020000}"/>
    <cellStyle name="Single Border 4 4" xfId="480" xr:uid="{00000000-0005-0000-0000-000055020000}"/>
    <cellStyle name="Single Border 5" xfId="481" xr:uid="{00000000-0005-0000-0000-000056020000}"/>
    <cellStyle name="Single Border 6" xfId="482" xr:uid="{00000000-0005-0000-0000-000057020000}"/>
    <cellStyle name="Single Border 7" xfId="483" xr:uid="{00000000-0005-0000-0000-000058020000}"/>
    <cellStyle name="special" xfId="105" xr:uid="{00000000-0005-0000-0000-000059020000}"/>
    <cellStyle name="STYLE1" xfId="484" xr:uid="{00000000-0005-0000-0000-00005A020000}"/>
    <cellStyle name="STYLE1 2" xfId="485" xr:uid="{00000000-0005-0000-0000-00005B020000}"/>
    <cellStyle name="STYLE1 2 2" xfId="486" xr:uid="{00000000-0005-0000-0000-00005C020000}"/>
    <cellStyle name="STYLE1 2 2 2" xfId="487" xr:uid="{00000000-0005-0000-0000-00005D020000}"/>
    <cellStyle name="STYLE1 2 3" xfId="488" xr:uid="{00000000-0005-0000-0000-00005E020000}"/>
    <cellStyle name="STYLE1 3" xfId="489" xr:uid="{00000000-0005-0000-0000-00005F020000}"/>
    <cellStyle name="STYLE1 3 2" xfId="490" xr:uid="{00000000-0005-0000-0000-000060020000}"/>
    <cellStyle name="STYLE10" xfId="491" xr:uid="{00000000-0005-0000-0000-000061020000}"/>
    <cellStyle name="STYLE11" xfId="492" xr:uid="{00000000-0005-0000-0000-000062020000}"/>
    <cellStyle name="STYLE12" xfId="493" xr:uid="{00000000-0005-0000-0000-000063020000}"/>
    <cellStyle name="STYLE2" xfId="494" xr:uid="{00000000-0005-0000-0000-000064020000}"/>
    <cellStyle name="STYLE2 2" xfId="495" xr:uid="{00000000-0005-0000-0000-000065020000}"/>
    <cellStyle name="STYLE2 2 2" xfId="496" xr:uid="{00000000-0005-0000-0000-000066020000}"/>
    <cellStyle name="STYLE2 2 3" xfId="497" xr:uid="{00000000-0005-0000-0000-000067020000}"/>
    <cellStyle name="STYLE2 3" xfId="498" xr:uid="{00000000-0005-0000-0000-000068020000}"/>
    <cellStyle name="STYLE2 3 2" xfId="499" xr:uid="{00000000-0005-0000-0000-000069020000}"/>
    <cellStyle name="STYLE2 4" xfId="500" xr:uid="{00000000-0005-0000-0000-00006A020000}"/>
    <cellStyle name="STYLE3" xfId="501" xr:uid="{00000000-0005-0000-0000-00006B020000}"/>
    <cellStyle name="STYLE3 2" xfId="502" xr:uid="{00000000-0005-0000-0000-00006C020000}"/>
    <cellStyle name="STYLE3 3" xfId="503" xr:uid="{00000000-0005-0000-0000-00006D020000}"/>
    <cellStyle name="STYLE4" xfId="504" xr:uid="{00000000-0005-0000-0000-00006E020000}"/>
    <cellStyle name="STYLE4 2" xfId="505" xr:uid="{00000000-0005-0000-0000-00006F020000}"/>
    <cellStyle name="STYLE4 3" xfId="506" xr:uid="{00000000-0005-0000-0000-000070020000}"/>
    <cellStyle name="STYLE5" xfId="507" xr:uid="{00000000-0005-0000-0000-000071020000}"/>
    <cellStyle name="STYLE5 2" xfId="508" xr:uid="{00000000-0005-0000-0000-000072020000}"/>
    <cellStyle name="STYLE5 2 2" xfId="509" xr:uid="{00000000-0005-0000-0000-000073020000}"/>
    <cellStyle name="STYLE5 3" xfId="510" xr:uid="{00000000-0005-0000-0000-000074020000}"/>
    <cellStyle name="STYLE6" xfId="511" xr:uid="{00000000-0005-0000-0000-000075020000}"/>
    <cellStyle name="STYLE6 2" xfId="512" xr:uid="{00000000-0005-0000-0000-000076020000}"/>
    <cellStyle name="STYLE6 3" xfId="513" xr:uid="{00000000-0005-0000-0000-000077020000}"/>
    <cellStyle name="STYLE7" xfId="514" xr:uid="{00000000-0005-0000-0000-000078020000}"/>
    <cellStyle name="STYLE8" xfId="515" xr:uid="{00000000-0005-0000-0000-000079020000}"/>
    <cellStyle name="STYLE9" xfId="516" xr:uid="{00000000-0005-0000-0000-00007A020000}"/>
    <cellStyle name="Subtotal" xfId="106" xr:uid="{00000000-0005-0000-0000-00007B020000}"/>
    <cellStyle name="Text" xfId="517" xr:uid="{00000000-0005-0000-0000-00007C020000}"/>
    <cellStyle name="Title" xfId="107" builtinId="15" customBuiltin="1"/>
    <cellStyle name="Title 2" xfId="518" xr:uid="{00000000-0005-0000-0000-00007E020000}"/>
    <cellStyle name="Title 3" xfId="519" xr:uid="{00000000-0005-0000-0000-00007F020000}"/>
    <cellStyle name="Total" xfId="108" builtinId="25" customBuiltin="1"/>
    <cellStyle name="Total 2" xfId="520" xr:uid="{00000000-0005-0000-0000-000081020000}"/>
    <cellStyle name="Total 2 2" xfId="521" xr:uid="{00000000-0005-0000-0000-000082020000}"/>
    <cellStyle name="Total 2 2 2" xfId="522" xr:uid="{00000000-0005-0000-0000-000083020000}"/>
    <cellStyle name="Total 2 3" xfId="523" xr:uid="{00000000-0005-0000-0000-000084020000}"/>
    <cellStyle name="Total 2 3 2" xfId="524" xr:uid="{00000000-0005-0000-0000-000085020000}"/>
    <cellStyle name="Total 2 4" xfId="525" xr:uid="{00000000-0005-0000-0000-000086020000}"/>
    <cellStyle name="Total 3" xfId="526" xr:uid="{00000000-0005-0000-0000-000087020000}"/>
    <cellStyle name="Total 4" xfId="527" xr:uid="{00000000-0005-0000-0000-000088020000}"/>
    <cellStyle name="up" xfId="109" xr:uid="{00000000-0005-0000-0000-000089020000}"/>
    <cellStyle name="Warning Text" xfId="110" builtinId="11" customBuiltin="1"/>
    <cellStyle name="Warning Text 2" xfId="528" xr:uid="{00000000-0005-0000-0000-00008B020000}"/>
    <cellStyle name="Yellow" xfId="111" xr:uid="{00000000-0005-0000-0000-00008C020000}"/>
    <cellStyle name="Yellow2" xfId="112" xr:uid="{00000000-0005-0000-0000-00008D020000}"/>
    <cellStyle name="YellowL" xfId="113" xr:uid="{00000000-0005-0000-0000-00008E020000}"/>
    <cellStyle name="yellowr" xfId="114" xr:uid="{00000000-0005-0000-0000-00008F020000}"/>
  </cellStyles>
  <dxfs count="2">
    <dxf>
      <font>
        <condense val="0"/>
        <extend val="0"/>
        <color indexed="9"/>
      </font>
      <fill>
        <patternFill patternType="none">
          <bgColor indexed="65"/>
        </patternFill>
      </fill>
    </dxf>
    <dxf>
      <font>
        <b/>
        <i val="0"/>
        <condense val="0"/>
        <extend val="0"/>
        <color indexed="10"/>
      </font>
      <fill>
        <patternFill>
          <bgColor indexed="13"/>
        </patternFill>
      </fill>
    </dxf>
  </dxfs>
  <tableStyles count="0" defaultTableStyle="TableStyleMedium2" defaultPivotStyle="PivotStyleLight16"/>
  <colors>
    <mruColors>
      <color rgb="FFFFCC99"/>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HXwpfs01\data1\FINANCE\ACCRUAL\2000DC\10_00dc\DCLa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HXwpfs01\data1\WORK\CALOMC\Project\Two%20Plan%20Rates\Rate%20Dev\Copy%20of%2005newphpcohsUP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henas01\group\FCHPFIN\XLDATA\David_R\vb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x0000_ÿ"/>
      <sheetName val="General"/>
      <sheetName val="Hospital "/>
      <sheetName val="Medical "/>
      <sheetName val="DCLag"/>
      <sheetName val="****"/>
      <sheetName val="Control"/>
      <sheetName val="Key"/>
      <sheetName val="2009 Oct Guidance SEC Format"/>
      <sheetName val="Q3 Forecast Scenarios Aud Com"/>
      <sheetName val="Look_up"/>
      <sheetName val="&lt;Overview &amp; Legend&gt;"/>
      <sheetName val="Schedule 1-E A"/>
      <sheetName val="Jul PPD"/>
      <sheetName val="Appendix A-Region"/>
      <sheetName val="Plan Cost Centers- Final  "/>
      <sheetName val="Revenue"/>
      <sheetName val="Exhibit II"/>
      <sheetName val="INDEX"/>
      <sheetName val="Lookups"/>
      <sheetName val="Options"/>
      <sheetName val="RDO_Non-Expansion_PH COAs"/>
      <sheetName val="June 17"/>
      <sheetName val="#19A-R2, 3 Mos w 0 (Acute)"/>
      <sheetName val="hiddenSheet"/>
      <sheetName val="HS"/>
      <sheetName val="HS Copy LAW"/>
      <sheetName val="HS (2)"/>
      <sheetName val="Sum with Factors"/>
      <sheetName val="Defined Input Options"/>
      <sheetName val="Dropdown_Ctrls"/>
      <sheetName val="B - Medi-Cal Income Statement"/>
      <sheetName val="Rating Regions by HP"/>
      <sheetName val="YTD  (2)"/>
      <sheetName val="Graph Builder"/>
      <sheetName val="Admin Expense Projections"/>
      <sheetName val="HIDE"/>
      <sheetName val="Hospital_"/>
      <sheetName val="Medical_"/>
      <sheetName val="2009_Oct_Guidance_SEC_Format"/>
      <sheetName val="Q3_Forecast_Scenarios_Aud_Com"/>
      <sheetName val="&lt;Overview_&amp;_Legend&gt;"/>
      <sheetName val="Schedule_1-E_A"/>
      <sheetName val="Jul_PPD"/>
      <sheetName val="Plan_Cost_Centers-_Final__"/>
      <sheetName val="Exhibit_II"/>
      <sheetName val="Appendix_A-Region"/>
      <sheetName val="June_17"/>
      <sheetName val="#19A-R2,_3_Mos_w_0_(Acute)"/>
      <sheetName val="HS_Copy_LAW"/>
      <sheetName val="HS_(2)"/>
      <sheetName val="Sum_with_Factors"/>
      <sheetName val="Defined_Input_Options"/>
      <sheetName val="RDO_Non-Expansion_PH_COAs"/>
      <sheetName val="B_-_Medi-Cal_Income_Statement"/>
      <sheetName val="Rating_Regions_by_HP"/>
      <sheetName val="Admin_Expense_Projections"/>
      <sheetName val="cos"/>
      <sheetName val="Rx rebate"/>
      <sheetName val="rx"/>
      <sheetName val="cap2"/>
      <sheetName val="PIP"/>
      <sheetName val="VHP Maternity &amp; BHT Cost AG"/>
      <sheetName val="KP VHP KICK"/>
      <sheetName val="Hyde cap for VHP KP"/>
      <sheetName val="KP VHP CY18 recast"/>
      <sheetName val="VHP and KP capitation"/>
      <sheetName val="CBAS MSSP"/>
      <sheetName val="CHME Raw Data (2)"/>
      <sheetName val="NMT Raw"/>
      <sheetName val="VSP mms Raw data"/>
      <sheetName val="MM w AG"/>
    </sheetNames>
    <sheetDataSet>
      <sheetData sheetId="0" refreshError="1"/>
      <sheetData sheetId="1" refreshError="1">
        <row r="1">
          <cell r="AA1" t="str">
            <v>Graph Ranges for Monthly PMPM</v>
          </cell>
        </row>
        <row r="10">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row>
        <row r="15">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row>
        <row r="20">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row>
        <row r="35">
          <cell r="AC35" t="e">
            <v>#REF!</v>
          </cell>
          <cell r="AD35" t="e">
            <v>#REF!</v>
          </cell>
          <cell r="AE35" t="e">
            <v>#REF!</v>
          </cell>
          <cell r="AF35" t="e">
            <v>#REF!</v>
          </cell>
          <cell r="AG35" t="e">
            <v>#REF!</v>
          </cell>
          <cell r="AH35" t="e">
            <v>#REF!</v>
          </cell>
          <cell r="AI35" t="e">
            <v>#REF!</v>
          </cell>
          <cell r="AJ35" t="e">
            <v>#REF!</v>
          </cell>
          <cell r="AK35" t="e">
            <v>#REF!</v>
          </cell>
          <cell r="AL35" t="e">
            <v>#REF!</v>
          </cell>
          <cell r="AM35" t="e">
            <v>#REF!</v>
          </cell>
          <cell r="AN35" t="e">
            <v>#REF!</v>
          </cell>
          <cell r="AO35" t="e">
            <v>#REF!</v>
          </cell>
        </row>
        <row r="57">
          <cell r="AC57">
            <v>10241</v>
          </cell>
          <cell r="AG57">
            <v>1205</v>
          </cell>
        </row>
        <row r="58">
          <cell r="AC58">
            <v>9328</v>
          </cell>
          <cell r="AG58">
            <v>880</v>
          </cell>
        </row>
        <row r="59">
          <cell r="AC59">
            <v>9893</v>
          </cell>
          <cell r="AG59">
            <v>879</v>
          </cell>
        </row>
        <row r="60">
          <cell r="AC60">
            <v>8820</v>
          </cell>
          <cell r="AG60">
            <v>884</v>
          </cell>
        </row>
        <row r="61">
          <cell r="AC61">
            <v>9511</v>
          </cell>
          <cell r="AG61">
            <v>1031</v>
          </cell>
        </row>
        <row r="62">
          <cell r="AC62">
            <v>7869</v>
          </cell>
          <cell r="AG62">
            <v>822</v>
          </cell>
        </row>
        <row r="63">
          <cell r="AC63">
            <v>7126</v>
          </cell>
          <cell r="AG63">
            <v>593</v>
          </cell>
        </row>
        <row r="64">
          <cell r="AC64">
            <v>10416</v>
          </cell>
          <cell r="AG64">
            <v>1068</v>
          </cell>
        </row>
        <row r="65">
          <cell r="AC65">
            <v>4620</v>
          </cell>
          <cell r="AG65">
            <v>464</v>
          </cell>
        </row>
      </sheetData>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sheetData sheetId="35" refreshError="1"/>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istrativeExpenses"/>
      <sheetName val="Personnel"/>
      <sheetName val="Summary"/>
      <sheetName val="Sheet2"/>
      <sheetName val="PROPERTY 1993 P17C"/>
    </sheetNames>
    <sheetDataSet>
      <sheetData sheetId="0" refreshError="1"/>
      <sheetData sheetId="1"/>
      <sheetData sheetId="2"/>
      <sheetData sheetId="3" refreshError="1"/>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medicare.gov/coverage/durable-medical-equipment-coverage.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edicare.gov/coverage/durable-medical-equipment-coverage.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15"/>
  <sheetViews>
    <sheetView zoomScale="60" zoomScaleNormal="60" workbookViewId="0">
      <selection activeCell="H3" sqref="H3"/>
    </sheetView>
  </sheetViews>
  <sheetFormatPr defaultRowHeight="13.2" x14ac:dyDescent="0.25"/>
  <cols>
    <col min="1" max="1" width="3.44140625" customWidth="1"/>
    <col min="2" max="2" width="135.44140625" customWidth="1"/>
  </cols>
  <sheetData>
    <row r="1" spans="2:2" ht="13.8" thickBot="1" x14ac:dyDescent="0.3"/>
    <row r="2" spans="2:2" ht="16.2" thickBot="1" x14ac:dyDescent="0.35">
      <c r="B2" s="88" t="s">
        <v>191</v>
      </c>
    </row>
    <row r="3" spans="2:2" ht="78.75" customHeight="1" x14ac:dyDescent="0.25">
      <c r="B3" s="665" t="s">
        <v>1313</v>
      </c>
    </row>
    <row r="4" spans="2:2" ht="15.6" x14ac:dyDescent="0.3">
      <c r="B4" s="89" t="s">
        <v>1312</v>
      </c>
    </row>
    <row r="5" spans="2:2" ht="142.5" customHeight="1" x14ac:dyDescent="0.25">
      <c r="B5" s="666" t="s">
        <v>1326</v>
      </c>
    </row>
    <row r="6" spans="2:2" ht="15.6" x14ac:dyDescent="0.3">
      <c r="B6" s="89" t="s">
        <v>1314</v>
      </c>
    </row>
    <row r="7" spans="2:2" x14ac:dyDescent="0.25">
      <c r="B7" s="666" t="s">
        <v>1316</v>
      </c>
    </row>
    <row r="8" spans="2:2" x14ac:dyDescent="0.25">
      <c r="B8" s="666" t="s">
        <v>1317</v>
      </c>
    </row>
    <row r="9" spans="2:2" ht="15.6" x14ac:dyDescent="0.3">
      <c r="B9" s="89" t="s">
        <v>1315</v>
      </c>
    </row>
    <row r="10" spans="2:2" ht="39.6" x14ac:dyDescent="0.25">
      <c r="B10" s="666" t="s">
        <v>483</v>
      </c>
    </row>
    <row r="11" spans="2:2" ht="26.4" x14ac:dyDescent="0.25">
      <c r="B11" s="667" t="s">
        <v>192</v>
      </c>
    </row>
    <row r="12" spans="2:2" ht="39.6" x14ac:dyDescent="0.25">
      <c r="B12" s="667" t="s">
        <v>193</v>
      </c>
    </row>
    <row r="13" spans="2:2" ht="26.4" x14ac:dyDescent="0.25">
      <c r="B13" s="666" t="s">
        <v>484</v>
      </c>
    </row>
    <row r="14" spans="2:2" ht="26.4" x14ac:dyDescent="0.25">
      <c r="B14" s="668" t="s">
        <v>485</v>
      </c>
    </row>
    <row r="15" spans="2:2" ht="27" thickBot="1" x14ac:dyDescent="0.3">
      <c r="B15" s="669" t="s">
        <v>486</v>
      </c>
    </row>
  </sheetData>
  <sheetProtection password="D88B" sheet="1" objects="1" scenarios="1" formatColumns="0" formatRows="0"/>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pageSetUpPr fitToPage="1"/>
  </sheetPr>
  <dimension ref="A1:CW100"/>
  <sheetViews>
    <sheetView zoomScale="80" zoomScaleNormal="80" workbookViewId="0">
      <pane xSplit="1" ySplit="9" topLeftCell="CL91" activePane="bottomRight" state="frozen"/>
      <selection pane="topRight" activeCell="B1" sqref="B1"/>
      <selection pane="bottomLeft" activeCell="A10" sqref="A10"/>
      <selection pane="bottomRight" activeCell="CT1" sqref="CT1:DA1048576"/>
    </sheetView>
  </sheetViews>
  <sheetFormatPr defaultColWidth="9.44140625" defaultRowHeight="13.2" x14ac:dyDescent="0.25"/>
  <cols>
    <col min="1" max="1" width="49.44140625" style="360" bestFit="1" customWidth="1"/>
    <col min="2" max="2" width="8.5546875" style="360" bestFit="1" customWidth="1"/>
    <col min="3" max="21" width="15.5546875" style="360" customWidth="1"/>
    <col min="22" max="22" width="7.44140625" style="360" bestFit="1" customWidth="1"/>
    <col min="23" max="41" width="15.5546875" style="360" customWidth="1"/>
    <col min="42" max="42" width="7.44140625" style="360" bestFit="1" customWidth="1"/>
    <col min="43" max="61" width="15.5546875" style="360" customWidth="1"/>
    <col min="62" max="62" width="7.44140625" style="360" bestFit="1" customWidth="1"/>
    <col min="63" max="81" width="15.5546875" style="360" customWidth="1"/>
    <col min="82" max="82" width="7.44140625" style="360" bestFit="1" customWidth="1"/>
    <col min="83" max="97" width="15.5546875" style="360" customWidth="1"/>
    <col min="98" max="98" width="12.21875" style="360" bestFit="1" customWidth="1"/>
    <col min="99" max="99" width="19.21875" style="360" customWidth="1"/>
    <col min="100" max="100" width="14.5546875" style="360" bestFit="1" customWidth="1"/>
    <col min="101" max="101" width="13.21875" style="360" bestFit="1" customWidth="1"/>
    <col min="102" max="16384" width="9.44140625" style="360"/>
  </cols>
  <sheetData>
    <row r="1" spans="1:99" s="200" customFormat="1" ht="24.75" customHeight="1" x14ac:dyDescent="0.25">
      <c r="A1" s="18" t="s">
        <v>1341</v>
      </c>
      <c r="B1" s="199"/>
      <c r="C1" s="199"/>
      <c r="D1" s="199"/>
      <c r="E1" s="199"/>
      <c r="F1" s="199"/>
      <c r="G1" s="874"/>
      <c r="H1" s="874"/>
      <c r="I1" s="874"/>
      <c r="J1" s="339"/>
      <c r="K1" s="339"/>
      <c r="L1" s="199"/>
      <c r="M1" s="199"/>
      <c r="N1" s="199"/>
      <c r="O1" s="199"/>
      <c r="P1" s="339"/>
      <c r="Q1" s="199"/>
      <c r="R1" s="199"/>
      <c r="S1" s="199"/>
      <c r="T1" s="199"/>
      <c r="U1" s="199"/>
      <c r="V1" s="199"/>
      <c r="W1" s="199"/>
      <c r="X1" s="199"/>
      <c r="Y1" s="199"/>
      <c r="Z1" s="199"/>
      <c r="AA1" s="199"/>
      <c r="AB1" s="199"/>
      <c r="AC1" s="199"/>
      <c r="AD1" s="199"/>
      <c r="AE1" s="199"/>
      <c r="AF1" s="339"/>
      <c r="AG1" s="199"/>
      <c r="AH1" s="199"/>
      <c r="AI1" s="199"/>
      <c r="AJ1" s="199"/>
      <c r="AK1" s="199"/>
      <c r="AL1" s="199"/>
      <c r="AM1" s="199"/>
      <c r="AN1" s="199"/>
      <c r="AO1" s="199"/>
      <c r="AP1" s="199"/>
      <c r="AQ1" s="199"/>
      <c r="AR1" s="199"/>
      <c r="AS1" s="199"/>
      <c r="AT1" s="199"/>
      <c r="AU1" s="199"/>
      <c r="AV1" s="339"/>
      <c r="AW1" s="199"/>
      <c r="AX1" s="199"/>
      <c r="AY1" s="199"/>
      <c r="AZ1" s="199"/>
      <c r="BA1" s="199"/>
      <c r="BB1" s="199"/>
      <c r="BC1" s="199"/>
      <c r="BD1" s="199"/>
      <c r="BE1" s="199"/>
      <c r="BF1" s="199"/>
      <c r="BG1" s="199"/>
      <c r="BH1" s="199"/>
      <c r="BI1" s="199"/>
      <c r="BJ1" s="199"/>
      <c r="BK1" s="199"/>
      <c r="BL1" s="339"/>
      <c r="BM1" s="199"/>
      <c r="BN1" s="199"/>
      <c r="BO1" s="199"/>
      <c r="BP1" s="199"/>
      <c r="BQ1" s="199"/>
      <c r="BR1" s="199"/>
      <c r="BS1" s="199"/>
      <c r="BT1" s="199"/>
      <c r="BU1" s="199"/>
      <c r="BV1" s="199"/>
      <c r="BW1" s="199"/>
      <c r="BX1" s="199"/>
      <c r="BY1" s="199"/>
      <c r="BZ1" s="199"/>
      <c r="CA1" s="199"/>
      <c r="CB1" s="199"/>
      <c r="CC1" s="199"/>
      <c r="CD1" s="199"/>
      <c r="CE1" s="199"/>
      <c r="CF1" s="199"/>
      <c r="CG1" s="199"/>
      <c r="CH1" s="199"/>
      <c r="CI1" s="199"/>
      <c r="CJ1" s="199"/>
      <c r="CK1" s="199"/>
      <c r="CL1" s="199"/>
      <c r="CM1" s="199"/>
      <c r="CN1" s="199"/>
      <c r="CO1" s="199"/>
      <c r="CP1" s="199"/>
      <c r="CQ1" s="199"/>
      <c r="CR1" s="199"/>
      <c r="CS1" s="199"/>
    </row>
    <row r="2" spans="1:99" s="200" customFormat="1" ht="15.6" x14ac:dyDescent="0.25">
      <c r="A2" s="152" t="s">
        <v>276</v>
      </c>
      <c r="B2" s="445" t="str">
        <f>'Schedule 2_Balance Sheet'!C2</f>
        <v>Tufts Associated Health Plans, Inc. (TAHMO)</v>
      </c>
      <c r="C2" s="446"/>
      <c r="D2" s="446"/>
      <c r="E2" s="446"/>
      <c r="F2" s="447"/>
      <c r="G2" s="448"/>
      <c r="H2" s="199"/>
      <c r="I2" s="199"/>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199"/>
      <c r="AZ2" s="199"/>
      <c r="BA2" s="199"/>
      <c r="BB2" s="199"/>
      <c r="BC2" s="199"/>
      <c r="BD2" s="199"/>
      <c r="BE2" s="199"/>
      <c r="BF2" s="199"/>
      <c r="BG2" s="199"/>
      <c r="BH2" s="199"/>
      <c r="BI2" s="199"/>
      <c r="BJ2" s="199"/>
      <c r="BK2" s="199"/>
      <c r="BL2" s="199"/>
      <c r="BM2" s="199"/>
      <c r="BN2" s="199"/>
      <c r="BO2" s="199"/>
      <c r="BP2" s="199"/>
      <c r="BQ2" s="199"/>
      <c r="BR2" s="199"/>
      <c r="BS2" s="199"/>
      <c r="BT2" s="199"/>
      <c r="BU2" s="199"/>
      <c r="BV2" s="199"/>
      <c r="BW2" s="199"/>
      <c r="BX2" s="199"/>
      <c r="BY2" s="199"/>
      <c r="BZ2" s="199"/>
      <c r="CA2" s="199"/>
      <c r="CB2" s="199"/>
      <c r="CC2" s="199"/>
      <c r="CD2" s="199"/>
      <c r="CE2" s="199"/>
      <c r="CF2" s="199"/>
      <c r="CG2" s="199"/>
      <c r="CH2" s="199"/>
      <c r="CI2" s="199"/>
      <c r="CJ2" s="199"/>
      <c r="CK2" s="199"/>
      <c r="CL2" s="199"/>
      <c r="CM2" s="199"/>
      <c r="CN2" s="199"/>
      <c r="CO2" s="199"/>
      <c r="CP2" s="199"/>
      <c r="CQ2" s="199"/>
      <c r="CR2" s="199"/>
      <c r="CS2" s="199"/>
    </row>
    <row r="3" spans="1:99" s="200" customFormat="1" ht="15.6" x14ac:dyDescent="0.25">
      <c r="A3" s="152" t="s">
        <v>0</v>
      </c>
      <c r="B3" s="580" t="str">
        <f>'Schedule 2_Balance Sheet'!C3</f>
        <v>01/01/2024 - 12/31/2024</v>
      </c>
      <c r="C3" s="581"/>
      <c r="D3" s="581"/>
      <c r="E3" s="581"/>
      <c r="F3" s="582"/>
      <c r="G3" s="448"/>
      <c r="H3" s="199"/>
      <c r="I3" s="199"/>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row>
    <row r="4" spans="1:99" s="451" customFormat="1" ht="15.6" x14ac:dyDescent="0.25">
      <c r="A4" s="152" t="s">
        <v>275</v>
      </c>
      <c r="B4" s="449">
        <f>'Schedule 2_Balance Sheet'!C4</f>
        <v>45657</v>
      </c>
      <c r="C4" s="446"/>
      <c r="D4" s="446"/>
      <c r="E4" s="446"/>
      <c r="F4" s="447"/>
      <c r="G4" s="448"/>
      <c r="H4" s="199"/>
      <c r="I4" s="450"/>
      <c r="J4" s="199"/>
      <c r="K4" s="199"/>
      <c r="L4" s="199"/>
      <c r="M4" s="199"/>
      <c r="N4" s="199"/>
      <c r="O4" s="199"/>
      <c r="P4" s="199"/>
      <c r="Q4" s="199"/>
      <c r="R4" s="199"/>
      <c r="S4" s="199"/>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BV4" s="199"/>
      <c r="BW4" s="199"/>
      <c r="BX4" s="199"/>
      <c r="BY4" s="199"/>
      <c r="BZ4" s="199"/>
      <c r="CA4" s="199"/>
      <c r="CB4" s="199"/>
      <c r="CC4" s="199"/>
      <c r="CD4" s="199"/>
      <c r="CE4" s="199"/>
      <c r="CF4" s="199"/>
      <c r="CG4" s="199"/>
      <c r="CH4" s="199"/>
      <c r="CI4" s="199"/>
      <c r="CJ4" s="199"/>
      <c r="CK4" s="199"/>
      <c r="CL4" s="199"/>
      <c r="CM4" s="199"/>
      <c r="CN4" s="199"/>
      <c r="CO4" s="199"/>
      <c r="CP4" s="199"/>
      <c r="CQ4" s="199"/>
      <c r="CR4" s="199"/>
      <c r="CS4" s="199"/>
    </row>
    <row r="5" spans="1:99" s="200" customFormat="1" ht="15.6" x14ac:dyDescent="0.25">
      <c r="A5" s="152" t="s">
        <v>274</v>
      </c>
      <c r="B5" s="445" t="str">
        <f>'Schedule 2_Balance Sheet'!C5</f>
        <v>Roshni Parikh</v>
      </c>
      <c r="C5" s="446"/>
      <c r="D5" s="446"/>
      <c r="E5" s="446"/>
      <c r="F5" s="447"/>
      <c r="G5" s="448"/>
      <c r="H5" s="199"/>
      <c r="I5" s="199"/>
      <c r="J5" s="199"/>
      <c r="K5" s="199"/>
      <c r="L5" s="199"/>
      <c r="M5" s="199"/>
      <c r="N5" s="199"/>
      <c r="O5" s="199"/>
      <c r="P5" s="199"/>
      <c r="Q5" s="199"/>
      <c r="R5" s="199"/>
      <c r="S5" s="199"/>
      <c r="T5" s="199"/>
      <c r="U5" s="199"/>
      <c r="V5" s="199"/>
      <c r="W5" s="199"/>
      <c r="X5" s="199"/>
      <c r="Y5" s="199"/>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c r="BM5" s="199"/>
      <c r="BN5" s="199"/>
      <c r="BO5" s="199"/>
      <c r="BP5" s="199"/>
      <c r="BQ5" s="199"/>
      <c r="BR5" s="199"/>
      <c r="BS5" s="199"/>
      <c r="BT5" s="199"/>
      <c r="BU5" s="199"/>
      <c r="BV5" s="199"/>
      <c r="BW5" s="199"/>
      <c r="BX5" s="199"/>
      <c r="BY5" s="199"/>
      <c r="BZ5" s="199"/>
      <c r="CA5" s="199"/>
      <c r="CB5" s="199"/>
      <c r="CC5" s="199"/>
      <c r="CD5" s="199"/>
      <c r="CE5" s="199"/>
      <c r="CF5" s="199"/>
      <c r="CG5" s="199"/>
      <c r="CH5" s="199"/>
      <c r="CI5" s="199"/>
      <c r="CJ5" s="199"/>
      <c r="CK5" s="199"/>
      <c r="CL5" s="199"/>
      <c r="CM5" s="199"/>
      <c r="CN5" s="199"/>
      <c r="CO5" s="199"/>
      <c r="CP5" s="199"/>
      <c r="CQ5" s="199"/>
      <c r="CR5" s="199"/>
      <c r="CS5" s="199"/>
      <c r="CU5" s="807"/>
    </row>
    <row r="6" spans="1:99" s="200" customFormat="1" ht="15.6" x14ac:dyDescent="0.25">
      <c r="A6" s="152" t="s">
        <v>29</v>
      </c>
      <c r="B6" s="449">
        <f>'Schedule 2_Balance Sheet'!C6</f>
        <v>45657</v>
      </c>
      <c r="C6" s="446"/>
      <c r="D6" s="446"/>
      <c r="E6" s="446"/>
      <c r="F6" s="447"/>
      <c r="G6" s="448"/>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AN6" s="199"/>
      <c r="AO6" s="199"/>
      <c r="AP6" s="199"/>
      <c r="AQ6" s="199"/>
      <c r="AR6" s="199"/>
      <c r="AS6" s="199"/>
      <c r="AT6" s="199"/>
      <c r="AU6" s="199"/>
      <c r="AV6" s="199"/>
      <c r="AW6" s="199"/>
      <c r="AX6" s="199"/>
      <c r="AY6" s="199"/>
      <c r="AZ6" s="199"/>
      <c r="BA6" s="199"/>
      <c r="BB6" s="199"/>
      <c r="BC6" s="199"/>
      <c r="BD6" s="199"/>
      <c r="BE6" s="199"/>
      <c r="BF6" s="199"/>
      <c r="BG6" s="199"/>
      <c r="BH6" s="199"/>
      <c r="BI6" s="199"/>
      <c r="BJ6" s="199"/>
      <c r="BK6" s="199"/>
      <c r="BL6" s="199"/>
      <c r="BM6" s="199"/>
      <c r="BN6" s="199"/>
      <c r="BO6" s="199"/>
      <c r="BP6" s="199"/>
      <c r="BQ6" s="199"/>
      <c r="BR6" s="199"/>
      <c r="BS6" s="199"/>
      <c r="BT6" s="199"/>
      <c r="BU6" s="199"/>
      <c r="BV6" s="199"/>
      <c r="BW6" s="199"/>
      <c r="BX6" s="199"/>
      <c r="BY6" s="199"/>
      <c r="BZ6" s="199"/>
      <c r="CA6" s="199"/>
      <c r="CB6" s="199"/>
      <c r="CC6" s="199"/>
      <c r="CD6" s="199"/>
      <c r="CE6" s="199"/>
      <c r="CF6" s="199"/>
      <c r="CG6" s="199"/>
      <c r="CH6" s="199"/>
      <c r="CI6" s="199"/>
      <c r="CJ6" s="199"/>
      <c r="CK6" s="199"/>
      <c r="CL6" s="199"/>
      <c r="CM6" s="199"/>
      <c r="CN6" s="199"/>
      <c r="CO6" s="199"/>
      <c r="CP6" s="199"/>
      <c r="CQ6" s="199"/>
      <c r="CR6" s="199"/>
      <c r="CS6" s="199"/>
    </row>
    <row r="7" spans="1:99" s="200" customFormat="1" x14ac:dyDescent="0.25">
      <c r="A7" s="256" t="s">
        <v>543</v>
      </c>
      <c r="B7" s="201"/>
      <c r="C7" s="199"/>
      <c r="D7" s="199"/>
      <c r="E7" s="199"/>
      <c r="F7" s="199"/>
      <c r="G7" s="199"/>
      <c r="H7" s="199"/>
      <c r="I7" s="199"/>
      <c r="J7" s="199"/>
      <c r="K7" s="199"/>
      <c r="L7" s="199"/>
      <c r="M7" s="199"/>
      <c r="N7" s="199"/>
      <c r="O7" s="199"/>
      <c r="P7" s="199"/>
      <c r="Q7" s="199"/>
      <c r="R7" s="199"/>
      <c r="S7" s="199"/>
      <c r="T7" s="199"/>
      <c r="U7" s="199"/>
      <c r="V7" s="199"/>
      <c r="W7" s="199"/>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199"/>
      <c r="BI7" s="199"/>
      <c r="BJ7" s="199"/>
      <c r="BK7" s="199"/>
      <c r="BL7" s="199"/>
      <c r="BM7" s="199"/>
      <c r="BN7" s="199"/>
      <c r="BO7" s="199"/>
      <c r="BP7" s="199"/>
      <c r="BQ7" s="199"/>
      <c r="BR7" s="199"/>
      <c r="BS7" s="199"/>
      <c r="BT7" s="199"/>
      <c r="BU7" s="199"/>
      <c r="BV7" s="199"/>
      <c r="BW7" s="199"/>
      <c r="BX7" s="199"/>
      <c r="BY7" s="199"/>
      <c r="BZ7" s="199"/>
      <c r="CA7" s="199"/>
      <c r="CB7" s="199"/>
      <c r="CC7" s="199"/>
      <c r="CD7" s="199"/>
      <c r="CE7" s="199"/>
      <c r="CF7" s="199"/>
      <c r="CG7" s="199"/>
      <c r="CH7" s="199"/>
      <c r="CI7" s="199"/>
      <c r="CJ7" s="199"/>
      <c r="CK7" s="199"/>
      <c r="CL7" s="199"/>
      <c r="CM7" s="199"/>
      <c r="CN7" s="199"/>
      <c r="CO7" s="199"/>
      <c r="CP7" s="199"/>
      <c r="CQ7" s="199"/>
      <c r="CR7" s="199"/>
      <c r="CS7" s="199"/>
    </row>
    <row r="8" spans="1:99" s="200" customFormat="1" x14ac:dyDescent="0.25">
      <c r="A8" s="256"/>
      <c r="B8" s="201"/>
      <c r="C8" s="199"/>
      <c r="D8" s="199"/>
      <c r="E8" s="199"/>
      <c r="F8" s="199"/>
      <c r="G8" s="199"/>
      <c r="H8" s="199"/>
      <c r="I8" s="199"/>
      <c r="J8" s="199"/>
      <c r="K8" s="199"/>
      <c r="L8" s="199"/>
      <c r="M8" s="199"/>
      <c r="N8" s="199"/>
      <c r="O8" s="199"/>
      <c r="P8" s="199"/>
      <c r="Q8" s="199"/>
      <c r="R8" s="199"/>
      <c r="S8" s="199"/>
      <c r="T8" s="199"/>
      <c r="U8" s="199"/>
      <c r="V8" s="199"/>
      <c r="W8" s="199"/>
      <c r="X8" s="199"/>
      <c r="Y8" s="199"/>
      <c r="Z8" s="199"/>
      <c r="AA8" s="199"/>
      <c r="AB8" s="199"/>
      <c r="AC8" s="199"/>
      <c r="AD8" s="199"/>
      <c r="AE8" s="199"/>
      <c r="AF8" s="199"/>
      <c r="AG8" s="199"/>
      <c r="AH8" s="199"/>
      <c r="AI8" s="199"/>
      <c r="AJ8" s="199"/>
      <c r="AK8" s="199"/>
      <c r="AL8" s="199"/>
      <c r="AM8" s="199"/>
      <c r="AN8" s="199"/>
      <c r="AO8" s="199"/>
      <c r="AP8" s="199"/>
      <c r="AQ8" s="199"/>
      <c r="AR8" s="199"/>
      <c r="AS8" s="199"/>
      <c r="AT8" s="199"/>
      <c r="AU8" s="199"/>
      <c r="AV8" s="199"/>
      <c r="AW8" s="199"/>
      <c r="AX8" s="199"/>
      <c r="AY8" s="199"/>
      <c r="AZ8" s="199"/>
      <c r="BA8" s="199"/>
      <c r="BB8" s="199"/>
      <c r="BC8" s="199"/>
      <c r="BD8" s="199"/>
      <c r="BE8" s="199"/>
      <c r="BF8" s="199"/>
      <c r="BG8" s="199"/>
      <c r="BH8" s="199"/>
      <c r="BI8" s="199"/>
      <c r="BJ8" s="199"/>
      <c r="BK8" s="199"/>
      <c r="BL8" s="199"/>
      <c r="BM8" s="199"/>
      <c r="BN8" s="199"/>
      <c r="BO8" s="199"/>
      <c r="BP8" s="199"/>
      <c r="BQ8" s="199"/>
      <c r="BR8" s="199"/>
      <c r="BS8" s="199"/>
      <c r="BT8" s="199"/>
      <c r="BU8" s="199"/>
      <c r="BV8" s="199"/>
      <c r="BW8" s="199"/>
      <c r="BX8" s="199"/>
      <c r="BY8" s="199"/>
      <c r="BZ8" s="199"/>
      <c r="CA8" s="199"/>
      <c r="CB8" s="199"/>
      <c r="CC8" s="199"/>
      <c r="CD8" s="199"/>
      <c r="CE8" s="199"/>
      <c r="CF8" s="199"/>
      <c r="CG8" s="199"/>
      <c r="CH8" s="199"/>
      <c r="CI8" s="199"/>
      <c r="CJ8" s="199"/>
      <c r="CK8" s="199"/>
      <c r="CL8" s="199"/>
      <c r="CM8" s="199"/>
      <c r="CN8" s="199"/>
      <c r="CO8" s="199"/>
      <c r="CP8" s="199"/>
      <c r="CQ8" s="199"/>
      <c r="CR8" s="199"/>
      <c r="CS8" s="199"/>
      <c r="CU8" s="807"/>
    </row>
    <row r="9" spans="1:99" s="200" customFormat="1" x14ac:dyDescent="0.25">
      <c r="A9" s="256"/>
      <c r="B9" s="201"/>
      <c r="C9" s="199"/>
      <c r="D9" s="199"/>
      <c r="E9" s="199"/>
      <c r="F9" s="199"/>
      <c r="G9" s="199"/>
      <c r="H9" s="199"/>
      <c r="I9" s="199"/>
      <c r="J9" s="199"/>
      <c r="K9" s="199"/>
      <c r="L9" s="199"/>
      <c r="M9" s="199"/>
      <c r="N9" s="199"/>
      <c r="O9" s="199"/>
      <c r="P9" s="199"/>
      <c r="Q9" s="199"/>
      <c r="R9" s="199"/>
      <c r="S9" s="199"/>
      <c r="T9" s="199"/>
      <c r="U9" s="199"/>
      <c r="V9" s="199"/>
      <c r="W9" s="199"/>
      <c r="X9" s="199"/>
      <c r="Y9" s="199"/>
      <c r="Z9" s="199"/>
      <c r="AA9" s="199"/>
      <c r="AB9" s="199"/>
      <c r="AC9" s="199"/>
      <c r="AD9" s="199"/>
      <c r="AE9" s="199"/>
      <c r="AF9" s="199"/>
      <c r="AG9" s="199"/>
      <c r="AH9" s="199"/>
      <c r="AI9" s="199"/>
      <c r="AJ9" s="199"/>
      <c r="AK9" s="199"/>
      <c r="AL9" s="199"/>
      <c r="AM9" s="199"/>
      <c r="AN9" s="199"/>
      <c r="AO9" s="199"/>
      <c r="AP9" s="199"/>
      <c r="AQ9" s="199"/>
      <c r="AR9" s="199"/>
      <c r="AS9" s="199"/>
      <c r="AT9" s="199"/>
      <c r="AU9" s="199"/>
      <c r="AV9" s="199"/>
      <c r="AW9" s="199"/>
      <c r="AX9" s="199"/>
      <c r="AY9" s="199"/>
      <c r="AZ9" s="199"/>
      <c r="BA9" s="199"/>
      <c r="BB9" s="199"/>
      <c r="BC9" s="199"/>
      <c r="BD9" s="199"/>
      <c r="BE9" s="199"/>
      <c r="BF9" s="199"/>
      <c r="BG9" s="199"/>
      <c r="BH9" s="199"/>
      <c r="BI9" s="199"/>
      <c r="BJ9" s="199"/>
      <c r="BK9" s="199"/>
      <c r="BL9" s="199"/>
      <c r="BM9" s="199"/>
      <c r="BN9" s="199"/>
      <c r="BO9" s="199"/>
      <c r="BP9" s="199"/>
      <c r="BQ9" s="199"/>
      <c r="BR9" s="199"/>
      <c r="BS9" s="199"/>
      <c r="BT9" s="199"/>
      <c r="BU9" s="199"/>
      <c r="BV9" s="199"/>
      <c r="BW9" s="199"/>
      <c r="BX9" s="199"/>
      <c r="BY9" s="199"/>
      <c r="BZ9" s="199"/>
      <c r="CA9" s="199"/>
      <c r="CB9" s="199"/>
      <c r="CC9" s="199"/>
      <c r="CD9" s="199"/>
      <c r="CE9" s="199"/>
      <c r="CF9" s="199"/>
      <c r="CG9" s="199"/>
      <c r="CH9" s="199"/>
      <c r="CI9" s="199"/>
      <c r="CJ9" s="199"/>
      <c r="CK9" s="199"/>
      <c r="CL9" s="199"/>
      <c r="CM9" s="199"/>
      <c r="CN9" s="199"/>
      <c r="CO9" s="199"/>
      <c r="CP9" s="199"/>
      <c r="CQ9" s="199"/>
      <c r="CR9" s="199"/>
      <c r="CS9" s="199"/>
    </row>
    <row r="10" spans="1:99" s="200" customFormat="1" ht="15.75" customHeight="1" x14ac:dyDescent="0.25">
      <c r="A10" s="452"/>
      <c r="B10" s="885" t="s">
        <v>269</v>
      </c>
      <c r="C10" s="453" t="s">
        <v>273</v>
      </c>
      <c r="D10" s="454"/>
      <c r="E10" s="454"/>
      <c r="F10" s="454"/>
      <c r="G10" s="454"/>
      <c r="H10" s="454"/>
      <c r="I10" s="454"/>
      <c r="J10" s="454"/>
      <c r="K10" s="454"/>
      <c r="L10" s="454"/>
      <c r="M10" s="454"/>
      <c r="N10" s="454"/>
      <c r="O10" s="454"/>
      <c r="P10" s="454"/>
      <c r="Q10" s="454"/>
      <c r="R10" s="454"/>
      <c r="S10" s="454"/>
      <c r="T10" s="454"/>
      <c r="U10" s="455"/>
      <c r="V10" s="885" t="s">
        <v>269</v>
      </c>
      <c r="W10" s="453" t="s">
        <v>1530</v>
      </c>
      <c r="X10" s="454"/>
      <c r="Y10" s="454"/>
      <c r="Z10" s="454"/>
      <c r="AA10" s="454"/>
      <c r="AB10" s="454"/>
      <c r="AC10" s="454"/>
      <c r="AD10" s="454"/>
      <c r="AE10" s="454"/>
      <c r="AF10" s="454"/>
      <c r="AG10" s="454"/>
      <c r="AH10" s="454"/>
      <c r="AI10" s="454"/>
      <c r="AJ10" s="454"/>
      <c r="AK10" s="454"/>
      <c r="AL10" s="454"/>
      <c r="AM10" s="454"/>
      <c r="AN10" s="454"/>
      <c r="AO10" s="455"/>
      <c r="AP10" s="885" t="s">
        <v>269</v>
      </c>
      <c r="AQ10" s="453" t="s">
        <v>271</v>
      </c>
      <c r="AR10" s="454"/>
      <c r="AS10" s="454"/>
      <c r="AT10" s="454"/>
      <c r="AU10" s="454"/>
      <c r="AV10" s="454"/>
      <c r="AW10" s="454"/>
      <c r="AX10" s="454"/>
      <c r="AY10" s="454"/>
      <c r="AZ10" s="454"/>
      <c r="BA10" s="454"/>
      <c r="BB10" s="454"/>
      <c r="BC10" s="454"/>
      <c r="BD10" s="454"/>
      <c r="BE10" s="454"/>
      <c r="BF10" s="454"/>
      <c r="BG10" s="454"/>
      <c r="BH10" s="454"/>
      <c r="BI10" s="455"/>
      <c r="BJ10" s="885" t="s">
        <v>269</v>
      </c>
      <c r="BK10" s="453" t="s">
        <v>270</v>
      </c>
      <c r="BL10" s="454"/>
      <c r="BM10" s="454"/>
      <c r="BN10" s="454"/>
      <c r="BO10" s="454"/>
      <c r="BP10" s="454"/>
      <c r="BQ10" s="454"/>
      <c r="BR10" s="454"/>
      <c r="BS10" s="454"/>
      <c r="BT10" s="454"/>
      <c r="BU10" s="454"/>
      <c r="BV10" s="454"/>
      <c r="BW10" s="454"/>
      <c r="BX10" s="454"/>
      <c r="BY10" s="454"/>
      <c r="BZ10" s="454"/>
      <c r="CA10" s="454"/>
      <c r="CB10" s="454"/>
      <c r="CC10" s="455"/>
      <c r="CD10" s="889" t="s">
        <v>269</v>
      </c>
      <c r="CE10" s="757"/>
      <c r="CF10" s="758"/>
      <c r="CG10" s="758"/>
      <c r="CH10" s="759"/>
      <c r="CI10" s="890" t="s">
        <v>268</v>
      </c>
      <c r="CJ10" s="757"/>
      <c r="CK10" s="758"/>
      <c r="CL10" s="758"/>
      <c r="CM10" s="759"/>
      <c r="CN10" s="890" t="s">
        <v>268</v>
      </c>
      <c r="CO10" s="757"/>
      <c r="CP10" s="758"/>
      <c r="CQ10" s="758"/>
      <c r="CR10" s="759"/>
      <c r="CS10" s="890" t="s">
        <v>268</v>
      </c>
    </row>
    <row r="11" spans="1:99" s="200" customFormat="1" ht="32.1" customHeight="1" x14ac:dyDescent="0.25">
      <c r="A11" s="151" t="s">
        <v>267</v>
      </c>
      <c r="B11" s="885"/>
      <c r="C11" s="453" t="s">
        <v>266</v>
      </c>
      <c r="D11" s="454"/>
      <c r="E11" s="454"/>
      <c r="F11" s="454"/>
      <c r="G11" s="454"/>
      <c r="H11" s="454"/>
      <c r="I11" s="454"/>
      <c r="J11" s="454"/>
      <c r="K11" s="456"/>
      <c r="L11" s="457" t="s">
        <v>265</v>
      </c>
      <c r="M11" s="454"/>
      <c r="N11" s="454"/>
      <c r="O11" s="454"/>
      <c r="P11" s="454"/>
      <c r="Q11" s="454"/>
      <c r="R11" s="454"/>
      <c r="S11" s="454"/>
      <c r="T11" s="454"/>
      <c r="U11" s="886" t="s">
        <v>264</v>
      </c>
      <c r="V11" s="885"/>
      <c r="W11" s="454" t="s">
        <v>266</v>
      </c>
      <c r="X11" s="454"/>
      <c r="Y11" s="454"/>
      <c r="Z11" s="454"/>
      <c r="AA11" s="454"/>
      <c r="AB11" s="454"/>
      <c r="AC11" s="454"/>
      <c r="AD11" s="454"/>
      <c r="AE11" s="456"/>
      <c r="AF11" s="457" t="s">
        <v>265</v>
      </c>
      <c r="AG11" s="454"/>
      <c r="AH11" s="454"/>
      <c r="AI11" s="454"/>
      <c r="AJ11" s="454"/>
      <c r="AK11" s="454"/>
      <c r="AL11" s="454"/>
      <c r="AM11" s="454"/>
      <c r="AN11" s="454"/>
      <c r="AO11" s="886" t="s">
        <v>264</v>
      </c>
      <c r="AP11" s="885"/>
      <c r="AQ11" s="453" t="s">
        <v>266</v>
      </c>
      <c r="AR11" s="454"/>
      <c r="AS11" s="454"/>
      <c r="AT11" s="454"/>
      <c r="AU11" s="454"/>
      <c r="AV11" s="454"/>
      <c r="AW11" s="454"/>
      <c r="AX11" s="454"/>
      <c r="AY11" s="456"/>
      <c r="AZ11" s="457" t="s">
        <v>265</v>
      </c>
      <c r="BA11" s="454"/>
      <c r="BB11" s="454"/>
      <c r="BC11" s="454"/>
      <c r="BD11" s="454"/>
      <c r="BE11" s="454"/>
      <c r="BF11" s="454"/>
      <c r="BG11" s="454"/>
      <c r="BH11" s="454"/>
      <c r="BI11" s="886" t="s">
        <v>264</v>
      </c>
      <c r="BJ11" s="885"/>
      <c r="BK11" s="453" t="s">
        <v>266</v>
      </c>
      <c r="BL11" s="454"/>
      <c r="BM11" s="454"/>
      <c r="BN11" s="454"/>
      <c r="BO11" s="454"/>
      <c r="BP11" s="454"/>
      <c r="BQ11" s="454"/>
      <c r="BR11" s="454"/>
      <c r="BS11" s="456"/>
      <c r="BT11" s="457" t="s">
        <v>265</v>
      </c>
      <c r="BU11" s="454"/>
      <c r="BV11" s="454"/>
      <c r="BW11" s="454"/>
      <c r="BX11" s="454"/>
      <c r="BY11" s="454"/>
      <c r="BZ11" s="454"/>
      <c r="CA11" s="454"/>
      <c r="CB11" s="454"/>
      <c r="CC11" s="886" t="s">
        <v>264</v>
      </c>
      <c r="CD11" s="885"/>
      <c r="CE11" s="756" t="s">
        <v>266</v>
      </c>
      <c r="CF11" s="756"/>
      <c r="CG11" s="756"/>
      <c r="CH11" s="756"/>
      <c r="CI11" s="891"/>
      <c r="CJ11" s="756" t="s">
        <v>265</v>
      </c>
      <c r="CK11" s="756"/>
      <c r="CL11" s="756"/>
      <c r="CM11" s="756"/>
      <c r="CN11" s="891"/>
      <c r="CO11" s="756" t="s">
        <v>1487</v>
      </c>
      <c r="CP11" s="756"/>
      <c r="CQ11" s="756"/>
      <c r="CR11" s="756"/>
      <c r="CS11" s="891"/>
    </row>
    <row r="12" spans="1:99" ht="12.75" customHeight="1" x14ac:dyDescent="0.25">
      <c r="A12" s="111" t="s">
        <v>263</v>
      </c>
      <c r="B12" s="885"/>
      <c r="C12" s="355" t="s">
        <v>126</v>
      </c>
      <c r="D12" s="356"/>
      <c r="E12" s="355" t="s">
        <v>127</v>
      </c>
      <c r="F12" s="356"/>
      <c r="G12" s="355" t="s">
        <v>128</v>
      </c>
      <c r="H12" s="356"/>
      <c r="I12" s="355" t="s">
        <v>129</v>
      </c>
      <c r="J12" s="356"/>
      <c r="K12" s="84"/>
      <c r="L12" s="357" t="s">
        <v>126</v>
      </c>
      <c r="M12" s="356"/>
      <c r="N12" s="355" t="s">
        <v>127</v>
      </c>
      <c r="O12" s="356"/>
      <c r="P12" s="355" t="s">
        <v>128</v>
      </c>
      <c r="Q12" s="356"/>
      <c r="R12" s="355" t="s">
        <v>129</v>
      </c>
      <c r="S12" s="356"/>
      <c r="T12" s="421"/>
      <c r="U12" s="887"/>
      <c r="V12" s="885"/>
      <c r="W12" s="358" t="s">
        <v>126</v>
      </c>
      <c r="X12" s="356"/>
      <c r="Y12" s="355" t="s">
        <v>127</v>
      </c>
      <c r="Z12" s="356"/>
      <c r="AA12" s="355" t="s">
        <v>128</v>
      </c>
      <c r="AB12" s="356"/>
      <c r="AC12" s="355" t="s">
        <v>129</v>
      </c>
      <c r="AD12" s="356"/>
      <c r="AE12" s="84"/>
      <c r="AF12" s="357" t="s">
        <v>126</v>
      </c>
      <c r="AG12" s="356"/>
      <c r="AH12" s="355" t="s">
        <v>127</v>
      </c>
      <c r="AI12" s="356"/>
      <c r="AJ12" s="355" t="s">
        <v>128</v>
      </c>
      <c r="AK12" s="356"/>
      <c r="AL12" s="355" t="s">
        <v>129</v>
      </c>
      <c r="AM12" s="356"/>
      <c r="AN12" s="421"/>
      <c r="AO12" s="887"/>
      <c r="AP12" s="885"/>
      <c r="AQ12" s="355" t="s">
        <v>126</v>
      </c>
      <c r="AR12" s="356"/>
      <c r="AS12" s="355" t="s">
        <v>127</v>
      </c>
      <c r="AT12" s="356"/>
      <c r="AU12" s="355" t="s">
        <v>128</v>
      </c>
      <c r="AV12" s="356"/>
      <c r="AW12" s="355" t="s">
        <v>129</v>
      </c>
      <c r="AX12" s="356"/>
      <c r="AY12" s="84"/>
      <c r="AZ12" s="357" t="s">
        <v>126</v>
      </c>
      <c r="BA12" s="356"/>
      <c r="BB12" s="355" t="s">
        <v>127</v>
      </c>
      <c r="BC12" s="356"/>
      <c r="BD12" s="355" t="s">
        <v>128</v>
      </c>
      <c r="BE12" s="356"/>
      <c r="BF12" s="355" t="s">
        <v>129</v>
      </c>
      <c r="BG12" s="356"/>
      <c r="BH12" s="421"/>
      <c r="BI12" s="887"/>
      <c r="BJ12" s="885"/>
      <c r="BK12" s="355" t="s">
        <v>126</v>
      </c>
      <c r="BL12" s="356"/>
      <c r="BM12" s="355" t="s">
        <v>127</v>
      </c>
      <c r="BN12" s="356"/>
      <c r="BO12" s="355" t="s">
        <v>128</v>
      </c>
      <c r="BP12" s="356"/>
      <c r="BQ12" s="355" t="s">
        <v>129</v>
      </c>
      <c r="BR12" s="356"/>
      <c r="BS12" s="84"/>
      <c r="BT12" s="357" t="s">
        <v>126</v>
      </c>
      <c r="BU12" s="356"/>
      <c r="BV12" s="355" t="s">
        <v>127</v>
      </c>
      <c r="BW12" s="356"/>
      <c r="BX12" s="355" t="s">
        <v>128</v>
      </c>
      <c r="BY12" s="356"/>
      <c r="BZ12" s="355" t="s">
        <v>129</v>
      </c>
      <c r="CA12" s="356"/>
      <c r="CB12" s="421"/>
      <c r="CC12" s="887"/>
      <c r="CD12" s="885"/>
      <c r="CE12" s="194" t="s">
        <v>126</v>
      </c>
      <c r="CF12" s="194" t="s">
        <v>127</v>
      </c>
      <c r="CG12" s="194" t="s">
        <v>128</v>
      </c>
      <c r="CH12" s="195" t="s">
        <v>129</v>
      </c>
      <c r="CI12" s="891"/>
      <c r="CJ12" s="194" t="s">
        <v>126</v>
      </c>
      <c r="CK12" s="194" t="s">
        <v>127</v>
      </c>
      <c r="CL12" s="194" t="s">
        <v>128</v>
      </c>
      <c r="CM12" s="195" t="s">
        <v>129</v>
      </c>
      <c r="CN12" s="891"/>
      <c r="CO12" s="194" t="s">
        <v>126</v>
      </c>
      <c r="CP12" s="194" t="s">
        <v>127</v>
      </c>
      <c r="CQ12" s="194" t="s">
        <v>128</v>
      </c>
      <c r="CR12" s="195" t="s">
        <v>129</v>
      </c>
      <c r="CS12" s="891"/>
    </row>
    <row r="13" spans="1:99" s="422" customFormat="1" ht="46.5" customHeight="1" x14ac:dyDescent="0.25">
      <c r="A13" s="458"/>
      <c r="B13" s="885"/>
      <c r="C13" s="699" t="s">
        <v>261</v>
      </c>
      <c r="D13" s="699" t="s">
        <v>260</v>
      </c>
      <c r="E13" s="699" t="s">
        <v>261</v>
      </c>
      <c r="F13" s="699" t="s">
        <v>260</v>
      </c>
      <c r="G13" s="699" t="s">
        <v>261</v>
      </c>
      <c r="H13" s="699" t="s">
        <v>260</v>
      </c>
      <c r="I13" s="699" t="s">
        <v>261</v>
      </c>
      <c r="J13" s="699" t="s">
        <v>260</v>
      </c>
      <c r="K13" s="700" t="s">
        <v>262</v>
      </c>
      <c r="L13" s="701" t="s">
        <v>261</v>
      </c>
      <c r="M13" s="699" t="s">
        <v>260</v>
      </c>
      <c r="N13" s="699" t="s">
        <v>261</v>
      </c>
      <c r="O13" s="699" t="s">
        <v>260</v>
      </c>
      <c r="P13" s="699" t="s">
        <v>261</v>
      </c>
      <c r="Q13" s="699" t="s">
        <v>260</v>
      </c>
      <c r="R13" s="699" t="s">
        <v>261</v>
      </c>
      <c r="S13" s="699" t="s">
        <v>260</v>
      </c>
      <c r="T13" s="699" t="s">
        <v>259</v>
      </c>
      <c r="U13" s="888"/>
      <c r="V13" s="885"/>
      <c r="W13" s="702" t="s">
        <v>261</v>
      </c>
      <c r="X13" s="699" t="s">
        <v>260</v>
      </c>
      <c r="Y13" s="699" t="s">
        <v>261</v>
      </c>
      <c r="Z13" s="699" t="s">
        <v>260</v>
      </c>
      <c r="AA13" s="699" t="s">
        <v>261</v>
      </c>
      <c r="AB13" s="699" t="s">
        <v>260</v>
      </c>
      <c r="AC13" s="699" t="s">
        <v>261</v>
      </c>
      <c r="AD13" s="699" t="s">
        <v>260</v>
      </c>
      <c r="AE13" s="700" t="s">
        <v>262</v>
      </c>
      <c r="AF13" s="701" t="s">
        <v>261</v>
      </c>
      <c r="AG13" s="699" t="s">
        <v>260</v>
      </c>
      <c r="AH13" s="699" t="s">
        <v>261</v>
      </c>
      <c r="AI13" s="699" t="s">
        <v>260</v>
      </c>
      <c r="AJ13" s="699" t="s">
        <v>261</v>
      </c>
      <c r="AK13" s="699" t="s">
        <v>260</v>
      </c>
      <c r="AL13" s="699" t="s">
        <v>261</v>
      </c>
      <c r="AM13" s="699" t="s">
        <v>260</v>
      </c>
      <c r="AN13" s="699" t="s">
        <v>259</v>
      </c>
      <c r="AO13" s="888"/>
      <c r="AP13" s="885"/>
      <c r="AQ13" s="699" t="s">
        <v>261</v>
      </c>
      <c r="AR13" s="699" t="s">
        <v>260</v>
      </c>
      <c r="AS13" s="699" t="s">
        <v>261</v>
      </c>
      <c r="AT13" s="699" t="s">
        <v>260</v>
      </c>
      <c r="AU13" s="699" t="s">
        <v>261</v>
      </c>
      <c r="AV13" s="699" t="s">
        <v>260</v>
      </c>
      <c r="AW13" s="699" t="s">
        <v>261</v>
      </c>
      <c r="AX13" s="699" t="s">
        <v>260</v>
      </c>
      <c r="AY13" s="700" t="s">
        <v>262</v>
      </c>
      <c r="AZ13" s="701" t="s">
        <v>261</v>
      </c>
      <c r="BA13" s="699" t="s">
        <v>260</v>
      </c>
      <c r="BB13" s="699" t="s">
        <v>261</v>
      </c>
      <c r="BC13" s="699" t="s">
        <v>260</v>
      </c>
      <c r="BD13" s="699" t="s">
        <v>261</v>
      </c>
      <c r="BE13" s="699" t="s">
        <v>260</v>
      </c>
      <c r="BF13" s="699" t="s">
        <v>261</v>
      </c>
      <c r="BG13" s="699" t="s">
        <v>260</v>
      </c>
      <c r="BH13" s="699" t="s">
        <v>259</v>
      </c>
      <c r="BI13" s="888"/>
      <c r="BJ13" s="885"/>
      <c r="BK13" s="699" t="s">
        <v>261</v>
      </c>
      <c r="BL13" s="699" t="s">
        <v>260</v>
      </c>
      <c r="BM13" s="699" t="s">
        <v>261</v>
      </c>
      <c r="BN13" s="699" t="s">
        <v>260</v>
      </c>
      <c r="BO13" s="699" t="s">
        <v>261</v>
      </c>
      <c r="BP13" s="699" t="s">
        <v>260</v>
      </c>
      <c r="BQ13" s="699" t="s">
        <v>261</v>
      </c>
      <c r="BR13" s="699" t="s">
        <v>260</v>
      </c>
      <c r="BS13" s="700" t="s">
        <v>262</v>
      </c>
      <c r="BT13" s="701" t="s">
        <v>261</v>
      </c>
      <c r="BU13" s="699" t="s">
        <v>260</v>
      </c>
      <c r="BV13" s="699" t="s">
        <v>261</v>
      </c>
      <c r="BW13" s="699" t="s">
        <v>260</v>
      </c>
      <c r="BX13" s="699" t="s">
        <v>261</v>
      </c>
      <c r="BY13" s="699" t="s">
        <v>260</v>
      </c>
      <c r="BZ13" s="699" t="s">
        <v>261</v>
      </c>
      <c r="CA13" s="699" t="s">
        <v>260</v>
      </c>
      <c r="CB13" s="699" t="s">
        <v>259</v>
      </c>
      <c r="CC13" s="888"/>
      <c r="CD13" s="885"/>
      <c r="CE13" s="703" t="s">
        <v>205</v>
      </c>
      <c r="CF13" s="703" t="s">
        <v>205</v>
      </c>
      <c r="CG13" s="703" t="s">
        <v>205</v>
      </c>
      <c r="CH13" s="703" t="s">
        <v>205</v>
      </c>
      <c r="CI13" s="892"/>
      <c r="CJ13" s="703" t="s">
        <v>205</v>
      </c>
      <c r="CK13" s="703" t="s">
        <v>205</v>
      </c>
      <c r="CL13" s="703" t="s">
        <v>205</v>
      </c>
      <c r="CM13" s="703" t="s">
        <v>205</v>
      </c>
      <c r="CN13" s="892"/>
      <c r="CO13" s="703" t="s">
        <v>205</v>
      </c>
      <c r="CP13" s="703" t="s">
        <v>205</v>
      </c>
      <c r="CQ13" s="703" t="s">
        <v>205</v>
      </c>
      <c r="CR13" s="703" t="s">
        <v>205</v>
      </c>
      <c r="CS13" s="892"/>
    </row>
    <row r="14" spans="1:99" ht="15.75" customHeight="1" x14ac:dyDescent="0.25">
      <c r="A14" s="19" t="s">
        <v>199</v>
      </c>
      <c r="B14" s="153"/>
      <c r="C14" s="753">
        <f>SUM('Schedule 3B_Income_Eastern:Schedule 3D_Income_The Cape'!C14)</f>
        <v>165</v>
      </c>
      <c r="D14" s="753">
        <f>SUM('Schedule 3B_Income_Eastern:Schedule 3D_Income_The Cape'!D14)</f>
        <v>1290.1088634038415</v>
      </c>
      <c r="E14" s="753">
        <f>SUM('Schedule 3B_Income_Eastern:Schedule 3D_Income_The Cape'!E14)</f>
        <v>288</v>
      </c>
      <c r="F14" s="753">
        <f>SUM('Schedule 3B_Income_Eastern:Schedule 3D_Income_The Cape'!F14)</f>
        <v>1863</v>
      </c>
      <c r="G14" s="753">
        <f>SUM('Schedule 3B_Income_Eastern:Schedule 3D_Income_The Cape'!G14)</f>
        <v>327</v>
      </c>
      <c r="H14" s="753">
        <f>SUM('Schedule 3B_Income_Eastern:Schedule 3D_Income_The Cape'!H14)</f>
        <v>1932</v>
      </c>
      <c r="I14" s="753">
        <f>SUM('Schedule 3B_Income_Eastern:Schedule 3D_Income_The Cape'!I14)</f>
        <v>273</v>
      </c>
      <c r="J14" s="753">
        <f>SUM('Schedule 3B_Income_Eastern:Schedule 3D_Income_The Cape'!J14)</f>
        <v>1896</v>
      </c>
      <c r="K14" s="753">
        <f>SUM('Schedule 3B_Income_Eastern:Schedule 3D_Income_The Cape'!K14)</f>
        <v>8034.1088634038424</v>
      </c>
      <c r="L14" s="754">
        <f>SUM('Schedule 3B_Income_Eastern:Schedule 3D_Income_The Cape'!L14)</f>
        <v>165</v>
      </c>
      <c r="M14" s="753">
        <f>SUM('Schedule 3B_Income_Eastern:Schedule 3D_Income_The Cape'!M14)</f>
        <v>1290.1088634038415</v>
      </c>
      <c r="N14" s="753">
        <f>SUM('Schedule 3B_Income_Eastern:Schedule 3D_Income_The Cape'!N14)</f>
        <v>288</v>
      </c>
      <c r="O14" s="753">
        <f>SUM('Schedule 3B_Income_Eastern:Schedule 3D_Income_The Cape'!O14)</f>
        <v>1863</v>
      </c>
      <c r="P14" s="753">
        <f>SUM('Schedule 3B_Income_Eastern:Schedule 3D_Income_The Cape'!P14)</f>
        <v>327</v>
      </c>
      <c r="Q14" s="753">
        <f>SUM('Schedule 3B_Income_Eastern:Schedule 3D_Income_The Cape'!Q14)</f>
        <v>1932</v>
      </c>
      <c r="R14" s="753">
        <f>SUM('Schedule 3B_Income_Eastern:Schedule 3D_Income_The Cape'!R14)</f>
        <v>273</v>
      </c>
      <c r="S14" s="753">
        <f>SUM('Schedule 3B_Income_Eastern:Schedule 3D_Income_The Cape'!S14)</f>
        <v>1896</v>
      </c>
      <c r="T14" s="753">
        <f>SUM('Schedule 3B_Income_Eastern:Schedule 3D_Income_The Cape'!T14)</f>
        <v>8034.1088634038424</v>
      </c>
      <c r="U14" s="755">
        <f>SUM('Schedule 3B_Income_Eastern:Schedule 3D_Income_The Cape'!U14)</f>
        <v>8034.1088634038424</v>
      </c>
      <c r="V14" s="752"/>
      <c r="W14" s="753">
        <f>SUM('Schedule 3B_Income_Eastern:Schedule 3D_Income_The Cape'!W14)</f>
        <v>0</v>
      </c>
      <c r="X14" s="753">
        <f>SUM('Schedule 3B_Income_Eastern:Schedule 3D_Income_The Cape'!X14)</f>
        <v>372</v>
      </c>
      <c r="Y14" s="753">
        <f>SUM('Schedule 3B_Income_Eastern:Schedule 3D_Income_The Cape'!Y14)</f>
        <v>6</v>
      </c>
      <c r="Z14" s="753">
        <f>SUM('Schedule 3B_Income_Eastern:Schedule 3D_Income_The Cape'!Z14)</f>
        <v>261</v>
      </c>
      <c r="AA14" s="753">
        <f>SUM('Schedule 3B_Income_Eastern:Schedule 3D_Income_The Cape'!AA14)</f>
        <v>24</v>
      </c>
      <c r="AB14" s="753">
        <f>SUM('Schedule 3B_Income_Eastern:Schedule 3D_Income_The Cape'!AB14)</f>
        <v>273</v>
      </c>
      <c r="AC14" s="753">
        <f>SUM('Schedule 3B_Income_Eastern:Schedule 3D_Income_The Cape'!AC14)</f>
        <v>27</v>
      </c>
      <c r="AD14" s="753">
        <f>SUM('Schedule 3B_Income_Eastern:Schedule 3D_Income_The Cape'!AD14)</f>
        <v>282</v>
      </c>
      <c r="AE14" s="753">
        <f>SUM('Schedule 3B_Income_Eastern:Schedule 3D_Income_The Cape'!AE14)</f>
        <v>1245</v>
      </c>
      <c r="AF14" s="754">
        <f>SUM('Schedule 3B_Income_Eastern:Schedule 3D_Income_The Cape'!AF14)</f>
        <v>0</v>
      </c>
      <c r="AG14" s="753">
        <f>SUM('Schedule 3B_Income_Eastern:Schedule 3D_Income_The Cape'!AG14)</f>
        <v>372</v>
      </c>
      <c r="AH14" s="753">
        <f>SUM('Schedule 3B_Income_Eastern:Schedule 3D_Income_The Cape'!AH14)</f>
        <v>6</v>
      </c>
      <c r="AI14" s="753">
        <f>SUM('Schedule 3B_Income_Eastern:Schedule 3D_Income_The Cape'!AI14)</f>
        <v>261</v>
      </c>
      <c r="AJ14" s="753">
        <f>SUM('Schedule 3B_Income_Eastern:Schedule 3D_Income_The Cape'!AJ14)</f>
        <v>24</v>
      </c>
      <c r="AK14" s="753">
        <f>SUM('Schedule 3B_Income_Eastern:Schedule 3D_Income_The Cape'!AK14)</f>
        <v>273</v>
      </c>
      <c r="AL14" s="753">
        <f>SUM('Schedule 3B_Income_Eastern:Schedule 3D_Income_The Cape'!AL14)</f>
        <v>27</v>
      </c>
      <c r="AM14" s="753">
        <f>SUM('Schedule 3B_Income_Eastern:Schedule 3D_Income_The Cape'!AM14)</f>
        <v>282</v>
      </c>
      <c r="AN14" s="753">
        <f>SUM('Schedule 3B_Income_Eastern:Schedule 3D_Income_The Cape'!AN14)</f>
        <v>1245</v>
      </c>
      <c r="AO14" s="755">
        <f>SUM('Schedule 3B_Income_Eastern:Schedule 3D_Income_The Cape'!AO14)</f>
        <v>1245</v>
      </c>
      <c r="AP14" s="752"/>
      <c r="AQ14" s="753">
        <f>SUM('Schedule 3B_Income_Eastern:Schedule 3D_Income_The Cape'!AQ14)</f>
        <v>894</v>
      </c>
      <c r="AR14" s="753">
        <f>SUM('Schedule 3B_Income_Eastern:Schedule 3D_Income_The Cape'!AR14)</f>
        <v>3249.9189209171236</v>
      </c>
      <c r="AS14" s="753">
        <f>SUM('Schedule 3B_Income_Eastern:Schedule 3D_Income_The Cape'!AS14)</f>
        <v>861</v>
      </c>
      <c r="AT14" s="753">
        <f>SUM('Schedule 3B_Income_Eastern:Schedule 3D_Income_The Cape'!AT14)</f>
        <v>3101.2070762926114</v>
      </c>
      <c r="AU14" s="753">
        <f>SUM('Schedule 3B_Income_Eastern:Schedule 3D_Income_The Cape'!AU14)</f>
        <v>936.19470412460055</v>
      </c>
      <c r="AV14" s="753">
        <f>SUM('Schedule 3B_Income_Eastern:Schedule 3D_Income_The Cape'!AV14)</f>
        <v>3527.3062470720879</v>
      </c>
      <c r="AW14" s="753">
        <f>SUM('Schedule 3B_Income_Eastern:Schedule 3D_Income_The Cape'!AW14)</f>
        <v>1056</v>
      </c>
      <c r="AX14" s="753">
        <f>SUM('Schedule 3B_Income_Eastern:Schedule 3D_Income_The Cape'!AX14)</f>
        <v>4030.5375019282583</v>
      </c>
      <c r="AY14" s="753">
        <f>SUM('Schedule 3B_Income_Eastern:Schedule 3D_Income_The Cape'!AY14)</f>
        <v>17656.164450334683</v>
      </c>
      <c r="AZ14" s="754">
        <f>SUM('Schedule 3B_Income_Eastern:Schedule 3D_Income_The Cape'!AZ14)</f>
        <v>894</v>
      </c>
      <c r="BA14" s="753">
        <f>SUM('Schedule 3B_Income_Eastern:Schedule 3D_Income_The Cape'!BA14)</f>
        <v>3249.9189209171236</v>
      </c>
      <c r="BB14" s="753">
        <f>SUM('Schedule 3B_Income_Eastern:Schedule 3D_Income_The Cape'!BB14)</f>
        <v>861</v>
      </c>
      <c r="BC14" s="753">
        <f>SUM('Schedule 3B_Income_Eastern:Schedule 3D_Income_The Cape'!BC14)</f>
        <v>3101.2070762926114</v>
      </c>
      <c r="BD14" s="753">
        <f>SUM('Schedule 3B_Income_Eastern:Schedule 3D_Income_The Cape'!BD14)</f>
        <v>936.19470412460055</v>
      </c>
      <c r="BE14" s="753">
        <f>SUM('Schedule 3B_Income_Eastern:Schedule 3D_Income_The Cape'!BE14)</f>
        <v>3527.3062470720879</v>
      </c>
      <c r="BF14" s="753">
        <f>SUM('Schedule 3B_Income_Eastern:Schedule 3D_Income_The Cape'!BF14)</f>
        <v>1056</v>
      </c>
      <c r="BG14" s="753">
        <f>SUM('Schedule 3B_Income_Eastern:Schedule 3D_Income_The Cape'!BG14)</f>
        <v>4030.5375019282583</v>
      </c>
      <c r="BH14" s="753">
        <f>SUM('Schedule 3B_Income_Eastern:Schedule 3D_Income_The Cape'!BH14)</f>
        <v>17656.164450334683</v>
      </c>
      <c r="BI14" s="755">
        <f>SUM('Schedule 3B_Income_Eastern:Schedule 3D_Income_The Cape'!BI14)</f>
        <v>17656.164450334683</v>
      </c>
      <c r="BJ14" s="752"/>
      <c r="BK14" s="753">
        <f>SUM('Schedule 3B_Income_Eastern:Schedule 3D_Income_The Cape'!BK14)</f>
        <v>9</v>
      </c>
      <c r="BL14" s="753">
        <f>SUM('Schedule 3B_Income_Eastern:Schedule 3D_Income_The Cape'!BL14)</f>
        <v>156.22101334157691</v>
      </c>
      <c r="BM14" s="753">
        <f>SUM('Schedule 3B_Income_Eastern:Schedule 3D_Income_The Cape'!BM14)</f>
        <v>9</v>
      </c>
      <c r="BN14" s="753">
        <f>SUM('Schedule 3B_Income_Eastern:Schedule 3D_Income_The Cape'!BN14)</f>
        <v>128.8909714658007</v>
      </c>
      <c r="BO14" s="753">
        <f>SUM('Schedule 3B_Income_Eastern:Schedule 3D_Income_The Cape'!BO14)</f>
        <v>6.976806606498597</v>
      </c>
      <c r="BP14" s="753">
        <f>SUM('Schedule 3B_Income_Eastern:Schedule 3D_Income_The Cape'!BP14)</f>
        <v>141.86827109052106</v>
      </c>
      <c r="BQ14" s="753">
        <f>SUM('Schedule 3B_Income_Eastern:Schedule 3D_Income_The Cape'!BQ14)</f>
        <v>0</v>
      </c>
      <c r="BR14" s="753">
        <f>SUM('Schedule 3B_Income_Eastern:Schedule 3D_Income_The Cape'!BR14)</f>
        <v>127.64731933720583</v>
      </c>
      <c r="BS14" s="753">
        <f>SUM('Schedule 3B_Income_Eastern:Schedule 3D_Income_The Cape'!BS14)</f>
        <v>579.60438184160307</v>
      </c>
      <c r="BT14" s="754">
        <f>SUM('Schedule 3B_Income_Eastern:Schedule 3D_Income_The Cape'!BT14)</f>
        <v>9</v>
      </c>
      <c r="BU14" s="753">
        <f>SUM('Schedule 3B_Income_Eastern:Schedule 3D_Income_The Cape'!BU14)</f>
        <v>156.22101334157691</v>
      </c>
      <c r="BV14" s="753">
        <f>SUM('Schedule 3B_Income_Eastern:Schedule 3D_Income_The Cape'!BV14)</f>
        <v>9</v>
      </c>
      <c r="BW14" s="753">
        <f>SUM('Schedule 3B_Income_Eastern:Schedule 3D_Income_The Cape'!BW14)</f>
        <v>128.8909714658007</v>
      </c>
      <c r="BX14" s="753">
        <f>SUM('Schedule 3B_Income_Eastern:Schedule 3D_Income_The Cape'!BX14)</f>
        <v>6.976806606498597</v>
      </c>
      <c r="BY14" s="753">
        <f>SUM('Schedule 3B_Income_Eastern:Schedule 3D_Income_The Cape'!BY14)</f>
        <v>141.86827109052106</v>
      </c>
      <c r="BZ14" s="753">
        <f>SUM('Schedule 3B_Income_Eastern:Schedule 3D_Income_The Cape'!BZ14)</f>
        <v>0</v>
      </c>
      <c r="CA14" s="753">
        <f>SUM('Schedule 3B_Income_Eastern:Schedule 3D_Income_The Cape'!CA14)</f>
        <v>127.64731933720583</v>
      </c>
      <c r="CB14" s="753">
        <f>SUM('Schedule 3B_Income_Eastern:Schedule 3D_Income_The Cape'!CB14)</f>
        <v>579.60438184160307</v>
      </c>
      <c r="CC14" s="755">
        <f>SUM('Schedule 3B_Income_Eastern:Schedule 3D_Income_The Cape'!CC14)</f>
        <v>579.60438184160307</v>
      </c>
      <c r="CD14" s="752"/>
      <c r="CE14" s="748">
        <f>+C14+D14+W14+X14+AQ14+AR14+BK14+BL14</f>
        <v>6136.2487976625416</v>
      </c>
      <c r="CF14" s="748">
        <f>+E14+F14+Y14+Z14+AS14+AT14+BM14+BN14</f>
        <v>6518.0980477584126</v>
      </c>
      <c r="CG14" s="748">
        <f>+G14+H14+AA14+AB14+AU14+AV14+BO14+BP14</f>
        <v>7168.3460288937085</v>
      </c>
      <c r="CH14" s="748">
        <f>+I14+J14+AC14+AD14+AW14+AX14+BQ14+BR14</f>
        <v>7692.1848212654641</v>
      </c>
      <c r="CI14" s="749">
        <f>SUM(K14,AE14,AY14,BS14)</f>
        <v>27514.87769558013</v>
      </c>
      <c r="CJ14" s="748">
        <f>L14+M14+AF14+AG14+AZ14+BA14+BT14+BU14</f>
        <v>6136.2487976625416</v>
      </c>
      <c r="CK14" s="748">
        <f>N14+O14+AH14+AI14+BB14+BC14+BV14+BW14</f>
        <v>6518.0980477584126</v>
      </c>
      <c r="CL14" s="748">
        <f>P14+Q14+AJ14+AK14+BD14+BE14+BX14+BY14</f>
        <v>7168.3460288937085</v>
      </c>
      <c r="CM14" s="748">
        <f>+R14+S14+AL14+AM14+BF14+BG14+BZ14+CA14</f>
        <v>7692.1848212654641</v>
      </c>
      <c r="CN14" s="749">
        <f>SUM(T14,AN14,BH14,CB14)</f>
        <v>27514.87769558013</v>
      </c>
      <c r="CO14" s="748">
        <f>+C14+D14+W14+X14+AQ14+AR14+BK14+BL14</f>
        <v>6136.2487976625416</v>
      </c>
      <c r="CP14" s="748">
        <f>+E14+F14+Y14+Z14+AS14+AT14+BM14+BN14</f>
        <v>6518.0980477584126</v>
      </c>
      <c r="CQ14" s="748">
        <f>+G14+H14+AA14+AB14+AU14+AV14+BO14+BP14</f>
        <v>7168.3460288937085</v>
      </c>
      <c r="CR14" s="748">
        <f>+I14+J14+AC14+AD14+AW14+AX14+BQ14+BR14</f>
        <v>7692.1848212654641</v>
      </c>
      <c r="CS14" s="749">
        <f t="shared" ref="CS14" si="0">SUM(CC14,BI14,AO14,U14)</f>
        <v>27514.87769558013</v>
      </c>
    </row>
    <row r="15" spans="1:99" ht="15.75" customHeight="1" x14ac:dyDescent="0.25">
      <c r="A15" s="19" t="s">
        <v>72</v>
      </c>
      <c r="B15" s="213"/>
      <c r="C15" s="112"/>
      <c r="D15" s="112"/>
      <c r="E15" s="112"/>
      <c r="F15" s="112"/>
      <c r="G15" s="112"/>
      <c r="H15" s="112"/>
      <c r="I15" s="112"/>
      <c r="J15" s="112"/>
      <c r="K15" s="423"/>
      <c r="L15" s="424"/>
      <c r="M15" s="112"/>
      <c r="N15" s="112"/>
      <c r="O15" s="112"/>
      <c r="P15" s="112"/>
      <c r="Q15" s="112"/>
      <c r="R15" s="112"/>
      <c r="S15" s="112"/>
      <c r="T15" s="112"/>
      <c r="U15" s="425"/>
      <c r="V15" s="213"/>
      <c r="W15" s="112"/>
      <c r="X15" s="112"/>
      <c r="Y15" s="112"/>
      <c r="Z15" s="112"/>
      <c r="AA15" s="112"/>
      <c r="AB15" s="112"/>
      <c r="AC15" s="112"/>
      <c r="AD15" s="112"/>
      <c r="AE15" s="423"/>
      <c r="AF15" s="424"/>
      <c r="AG15" s="112"/>
      <c r="AH15" s="112"/>
      <c r="AI15" s="112"/>
      <c r="AJ15" s="112"/>
      <c r="AK15" s="112"/>
      <c r="AL15" s="112"/>
      <c r="AM15" s="112"/>
      <c r="AN15" s="112"/>
      <c r="AO15" s="425"/>
      <c r="AP15" s="213"/>
      <c r="AQ15" s="112"/>
      <c r="AR15" s="112"/>
      <c r="AS15" s="112"/>
      <c r="AT15" s="112"/>
      <c r="AU15" s="112"/>
      <c r="AV15" s="112"/>
      <c r="AW15" s="112"/>
      <c r="AX15" s="112"/>
      <c r="AY15" s="423"/>
      <c r="AZ15" s="424"/>
      <c r="BA15" s="112"/>
      <c r="BB15" s="112"/>
      <c r="BC15" s="112"/>
      <c r="BD15" s="112"/>
      <c r="BE15" s="112"/>
      <c r="BF15" s="112"/>
      <c r="BG15" s="112"/>
      <c r="BH15" s="112"/>
      <c r="BI15" s="425"/>
      <c r="BJ15" s="213"/>
      <c r="BK15" s="198"/>
      <c r="BL15" s="198"/>
      <c r="BM15" s="198"/>
      <c r="BN15" s="198"/>
      <c r="BO15" s="198"/>
      <c r="BP15" s="198"/>
      <c r="BQ15" s="112"/>
      <c r="BR15" s="112"/>
      <c r="BS15" s="423"/>
      <c r="BT15" s="424"/>
      <c r="BU15" s="112"/>
      <c r="BV15" s="112"/>
      <c r="BW15" s="112"/>
      <c r="BX15" s="112"/>
      <c r="BY15" s="112"/>
      <c r="BZ15" s="112"/>
      <c r="CA15" s="112"/>
      <c r="CB15" s="112"/>
      <c r="CC15" s="425"/>
      <c r="CD15" s="213"/>
      <c r="CE15" s="219"/>
      <c r="CF15" s="219"/>
      <c r="CG15" s="219"/>
      <c r="CH15" s="219"/>
      <c r="CI15" s="213"/>
      <c r="CJ15" s="219"/>
      <c r="CK15" s="219"/>
      <c r="CL15" s="219"/>
      <c r="CM15" s="219"/>
      <c r="CN15" s="213"/>
      <c r="CO15" s="219"/>
      <c r="CP15" s="219"/>
      <c r="CQ15" s="219"/>
      <c r="CR15" s="219"/>
      <c r="CS15" s="213"/>
    </row>
    <row r="16" spans="1:99" ht="15.75" customHeight="1" x14ac:dyDescent="0.25">
      <c r="A16" s="148" t="s">
        <v>211</v>
      </c>
      <c r="B16" s="343">
        <v>1</v>
      </c>
      <c r="C16" s="671">
        <f>SUM('Schedule 3B_Income_Eastern:Schedule 3D_Income_The Cape'!C16)</f>
        <v>1307128.7700000301</v>
      </c>
      <c r="D16" s="671">
        <f>SUM('Schedule 3B_Income_Eastern:Schedule 3D_Income_The Cape'!D16)</f>
        <v>2748729.3400002411</v>
      </c>
      <c r="E16" s="671">
        <f>SUM('Schedule 3B_Income_Eastern:Schedule 3D_Income_The Cape'!E16)</f>
        <v>1341341.6300000299</v>
      </c>
      <c r="F16" s="671">
        <f>SUM('Schedule 3B_Income_Eastern:Schedule 3D_Income_The Cape'!F16)</f>
        <v>2840054.1000002613</v>
      </c>
      <c r="G16" s="671">
        <f>SUM('Schedule 3B_Income_Eastern:Schedule 3D_Income_The Cape'!G16)</f>
        <v>1385971.5800000401</v>
      </c>
      <c r="H16" s="671">
        <f>SUM('Schedule 3B_Income_Eastern:Schedule 3D_Income_The Cape'!H16)</f>
        <v>2971360.1100002816</v>
      </c>
      <c r="I16" s="671">
        <f>SUM('Schedule 3B_Income_Eastern:Schedule 3D_Income_The Cape'!I16)</f>
        <v>1442131.6200000402</v>
      </c>
      <c r="J16" s="671">
        <f>SUM('Schedule 3B_Income_Eastern:Schedule 3D_Income_The Cape'!J16)</f>
        <v>3017796.5900002834</v>
      </c>
      <c r="K16" s="672">
        <f t="shared" ref="K16:K23" si="1">SUM(C16:J16)</f>
        <v>17054513.740001209</v>
      </c>
      <c r="L16" s="673">
        <f>SUM('Schedule 3B_Income_Eastern:Schedule 3D_Income_The Cape'!L16)</f>
        <v>0</v>
      </c>
      <c r="M16" s="671">
        <f>SUM('Schedule 3B_Income_Eastern:Schedule 3D_Income_The Cape'!M16)</f>
        <v>0</v>
      </c>
      <c r="N16" s="671">
        <f>SUM('Schedule 3B_Income_Eastern:Schedule 3D_Income_The Cape'!N16)</f>
        <v>0</v>
      </c>
      <c r="O16" s="671">
        <f>SUM('Schedule 3B_Income_Eastern:Schedule 3D_Income_The Cape'!O16)</f>
        <v>0</v>
      </c>
      <c r="P16" s="671">
        <f>SUM('Schedule 3B_Income_Eastern:Schedule 3D_Income_The Cape'!P16)</f>
        <v>0</v>
      </c>
      <c r="Q16" s="671">
        <f>SUM('Schedule 3B_Income_Eastern:Schedule 3D_Income_The Cape'!Q16)</f>
        <v>0</v>
      </c>
      <c r="R16" s="671">
        <f>SUM('Schedule 3B_Income_Eastern:Schedule 3D_Income_The Cape'!R16)</f>
        <v>0</v>
      </c>
      <c r="S16" s="671">
        <f>SUM('Schedule 3B_Income_Eastern:Schedule 3D_Income_The Cape'!S16)</f>
        <v>0</v>
      </c>
      <c r="T16" s="674">
        <f t="shared" ref="T16:T23" si="2">SUM(L16:S16)</f>
        <v>0</v>
      </c>
      <c r="U16" s="675">
        <f t="shared" ref="U16:U23" si="3">SUM(K16,T16)</f>
        <v>17054513.740001209</v>
      </c>
      <c r="V16" s="343">
        <v>1</v>
      </c>
      <c r="W16" s="671">
        <f>SUM('Schedule 3B_Income_Eastern:Schedule 3D_Income_The Cape'!W16)</f>
        <v>213609.91999999998</v>
      </c>
      <c r="X16" s="671">
        <f>SUM('Schedule 3B_Income_Eastern:Schedule 3D_Income_The Cape'!X16)</f>
        <v>1419351.3100000189</v>
      </c>
      <c r="Y16" s="671">
        <f>SUM('Schedule 3B_Income_Eastern:Schedule 3D_Income_The Cape'!Y16)</f>
        <v>211953.99</v>
      </c>
      <c r="Z16" s="671">
        <f>SUM('Schedule 3B_Income_Eastern:Schedule 3D_Income_The Cape'!Z16)</f>
        <v>1356663.7700000182</v>
      </c>
      <c r="AA16" s="671">
        <f>SUM('Schedule 3B_Income_Eastern:Schedule 3D_Income_The Cape'!AA16)</f>
        <v>207474.36</v>
      </c>
      <c r="AB16" s="671">
        <f>SUM('Schedule 3B_Income_Eastern:Schedule 3D_Income_The Cape'!AB16)</f>
        <v>1365124.360000019</v>
      </c>
      <c r="AC16" s="671">
        <f>SUM('Schedule 3B_Income_Eastern:Schedule 3D_Income_The Cape'!AC16)</f>
        <v>232724.79</v>
      </c>
      <c r="AD16" s="671">
        <f>SUM('Schedule 3B_Income_Eastern:Schedule 3D_Income_The Cape'!AD16)</f>
        <v>1416501.0300000201</v>
      </c>
      <c r="AE16" s="672">
        <f t="shared" ref="AE16:AE23" si="4">SUM(W16:AD16)</f>
        <v>6423403.5300000757</v>
      </c>
      <c r="AF16" s="673">
        <f>SUM('Schedule 3B_Income_Eastern:Schedule 3D_Income_The Cape'!AF16)</f>
        <v>0</v>
      </c>
      <c r="AG16" s="671">
        <f>SUM('Schedule 3B_Income_Eastern:Schedule 3D_Income_The Cape'!AG16)</f>
        <v>0</v>
      </c>
      <c r="AH16" s="671">
        <f>SUM('Schedule 3B_Income_Eastern:Schedule 3D_Income_The Cape'!AH16)</f>
        <v>0</v>
      </c>
      <c r="AI16" s="671">
        <f>SUM('Schedule 3B_Income_Eastern:Schedule 3D_Income_The Cape'!AI16)</f>
        <v>0</v>
      </c>
      <c r="AJ16" s="671">
        <f>SUM('Schedule 3B_Income_Eastern:Schedule 3D_Income_The Cape'!AJ16)</f>
        <v>0</v>
      </c>
      <c r="AK16" s="671">
        <f>SUM('Schedule 3B_Income_Eastern:Schedule 3D_Income_The Cape'!AK16)</f>
        <v>0</v>
      </c>
      <c r="AL16" s="671">
        <f>SUM('Schedule 3B_Income_Eastern:Schedule 3D_Income_The Cape'!AL16)</f>
        <v>0</v>
      </c>
      <c r="AM16" s="671">
        <f>SUM('Schedule 3B_Income_Eastern:Schedule 3D_Income_The Cape'!AM16)</f>
        <v>0</v>
      </c>
      <c r="AN16" s="674">
        <f t="shared" ref="AN16:AN23" si="5">SUM(AF16:AM16)</f>
        <v>0</v>
      </c>
      <c r="AO16" s="675">
        <f t="shared" ref="AO16:AO23" si="6">SUM(AE16,AN16)</f>
        <v>6423403.5300000757</v>
      </c>
      <c r="AP16" s="343">
        <v>1</v>
      </c>
      <c r="AQ16" s="671">
        <f>SUM('Schedule 3B_Income_Eastern:Schedule 3D_Income_The Cape'!AQ16)</f>
        <v>23372618.689998191</v>
      </c>
      <c r="AR16" s="671">
        <f>SUM('Schedule 3B_Income_Eastern:Schedule 3D_Income_The Cape'!AR16)</f>
        <v>55267424.72000622</v>
      </c>
      <c r="AS16" s="671">
        <f>SUM('Schedule 3B_Income_Eastern:Schedule 3D_Income_The Cape'!AS16)</f>
        <v>25005834.309998002</v>
      </c>
      <c r="AT16" s="671">
        <f>SUM('Schedule 3B_Income_Eastern:Schedule 3D_Income_The Cape'!AT16)</f>
        <v>58136062.830009133</v>
      </c>
      <c r="AU16" s="671">
        <f>SUM('Schedule 3B_Income_Eastern:Schedule 3D_Income_The Cape'!AU16)</f>
        <v>26365615.860000599</v>
      </c>
      <c r="AV16" s="671">
        <f>SUM('Schedule 3B_Income_Eastern:Schedule 3D_Income_The Cape'!AV16)</f>
        <v>61461835.75001654</v>
      </c>
      <c r="AW16" s="671">
        <f>SUM('Schedule 3B_Income_Eastern:Schedule 3D_Income_The Cape'!AW16)</f>
        <v>28527343.080001201</v>
      </c>
      <c r="AX16" s="671">
        <f>SUM('Schedule 3B_Income_Eastern:Schedule 3D_Income_The Cape'!AX16)</f>
        <v>64223220.120019406</v>
      </c>
      <c r="AY16" s="672">
        <f t="shared" ref="AY16:AY23" si="7">SUM(AQ16:AX16)</f>
        <v>342359955.36004925</v>
      </c>
      <c r="AZ16" s="673">
        <f>SUM('Schedule 3B_Income_Eastern:Schedule 3D_Income_The Cape'!AZ16)</f>
        <v>0</v>
      </c>
      <c r="BA16" s="671">
        <f>SUM('Schedule 3B_Income_Eastern:Schedule 3D_Income_The Cape'!BA16)</f>
        <v>0</v>
      </c>
      <c r="BB16" s="671">
        <f>SUM('Schedule 3B_Income_Eastern:Schedule 3D_Income_The Cape'!BB16)</f>
        <v>0</v>
      </c>
      <c r="BC16" s="671">
        <f>SUM('Schedule 3B_Income_Eastern:Schedule 3D_Income_The Cape'!BC16)</f>
        <v>0</v>
      </c>
      <c r="BD16" s="671">
        <f>SUM('Schedule 3B_Income_Eastern:Schedule 3D_Income_The Cape'!BD16)</f>
        <v>0</v>
      </c>
      <c r="BE16" s="671">
        <f>SUM('Schedule 3B_Income_Eastern:Schedule 3D_Income_The Cape'!BE16)</f>
        <v>0</v>
      </c>
      <c r="BF16" s="671">
        <f>SUM('Schedule 3B_Income_Eastern:Schedule 3D_Income_The Cape'!BF16)</f>
        <v>0</v>
      </c>
      <c r="BG16" s="671">
        <f>SUM('Schedule 3B_Income_Eastern:Schedule 3D_Income_The Cape'!BG16)</f>
        <v>0</v>
      </c>
      <c r="BH16" s="674">
        <f t="shared" ref="BH16:BH23" si="8">SUM(AZ16:BG16)</f>
        <v>0</v>
      </c>
      <c r="BI16" s="675">
        <f t="shared" ref="BI16:BI23" si="9">SUM(AY16,BH16)</f>
        <v>342359955.36004925</v>
      </c>
      <c r="BJ16" s="343">
        <v>1</v>
      </c>
      <c r="BK16" s="671">
        <f>SUM('Schedule 3B_Income_Eastern:Schedule 3D_Income_The Cape'!BK16)</f>
        <v>523008.58999999997</v>
      </c>
      <c r="BL16" s="671">
        <f>SUM('Schedule 3B_Income_Eastern:Schedule 3D_Income_The Cape'!BL16)</f>
        <v>5884088.7500000009</v>
      </c>
      <c r="BM16" s="671">
        <f>SUM('Schedule 3B_Income_Eastern:Schedule 3D_Income_The Cape'!BM16)</f>
        <v>537647.22</v>
      </c>
      <c r="BN16" s="671">
        <f>SUM('Schedule 3B_Income_Eastern:Schedule 3D_Income_The Cape'!BN16)</f>
        <v>5764050.9799999986</v>
      </c>
      <c r="BO16" s="671">
        <f>SUM('Schedule 3B_Income_Eastern:Schedule 3D_Income_The Cape'!BO16)</f>
        <v>510340.16000000003</v>
      </c>
      <c r="BP16" s="671">
        <f>SUM('Schedule 3B_Income_Eastern:Schedule 3D_Income_The Cape'!BP16)</f>
        <v>5619703.7800000012</v>
      </c>
      <c r="BQ16" s="671">
        <f>SUM('Schedule 3B_Income_Eastern:Schedule 3D_Income_The Cape'!BQ16)</f>
        <v>612755.06000000006</v>
      </c>
      <c r="BR16" s="671">
        <f>SUM('Schedule 3B_Income_Eastern:Schedule 3D_Income_The Cape'!BR16)</f>
        <v>5839046.7200000007</v>
      </c>
      <c r="BS16" s="672">
        <f t="shared" ref="BS16:BS23" si="10">SUM(BK16:BR16)</f>
        <v>25290641.259999998</v>
      </c>
      <c r="BT16" s="673">
        <f>SUM('Schedule 3B_Income_Eastern:Schedule 3D_Income_The Cape'!BT16)</f>
        <v>0</v>
      </c>
      <c r="BU16" s="671">
        <f>SUM('Schedule 3B_Income_Eastern:Schedule 3D_Income_The Cape'!BU16)</f>
        <v>0</v>
      </c>
      <c r="BV16" s="671">
        <f>SUM('Schedule 3B_Income_Eastern:Schedule 3D_Income_The Cape'!BV16)</f>
        <v>0</v>
      </c>
      <c r="BW16" s="671">
        <f>SUM('Schedule 3B_Income_Eastern:Schedule 3D_Income_The Cape'!BW16)</f>
        <v>0</v>
      </c>
      <c r="BX16" s="671">
        <f>SUM('Schedule 3B_Income_Eastern:Schedule 3D_Income_The Cape'!BX16)</f>
        <v>0</v>
      </c>
      <c r="BY16" s="671">
        <f>SUM('Schedule 3B_Income_Eastern:Schedule 3D_Income_The Cape'!BY16)</f>
        <v>0</v>
      </c>
      <c r="BZ16" s="671">
        <f>SUM('Schedule 3B_Income_Eastern:Schedule 3D_Income_The Cape'!BZ16)</f>
        <v>0</v>
      </c>
      <c r="CA16" s="671">
        <f>SUM('Schedule 3B_Income_Eastern:Schedule 3D_Income_The Cape'!CA16)</f>
        <v>0</v>
      </c>
      <c r="CB16" s="674">
        <f t="shared" ref="CB16:CB23" si="11">SUM(BT16:CA16)</f>
        <v>0</v>
      </c>
      <c r="CC16" s="675">
        <f t="shared" ref="CC16:CC23" si="12">SUM(BS16,CB16)</f>
        <v>25290641.259999998</v>
      </c>
      <c r="CD16" s="343">
        <v>1</v>
      </c>
      <c r="CE16" s="462">
        <f>+C16+D16+W16+X16+AQ16+AR16+BK16+BL16</f>
        <v>90735960.090004712</v>
      </c>
      <c r="CF16" s="462">
        <f>+E16+F16+Y16+Z16+AS16+AT16+BM16+BN16</f>
        <v>95193608.830007449</v>
      </c>
      <c r="CG16" s="462">
        <f>+G16+H16+AA16+AB16+AU16+AV16+BO16+BP16</f>
        <v>99887425.960017473</v>
      </c>
      <c r="CH16" s="462">
        <f>+I16+J16+AC16+AD16+AW16+AX16+BQ16+BR16</f>
        <v>105311519.01002094</v>
      </c>
      <c r="CI16" s="464">
        <f>SUM(K16,AE16,AY16,BS16)</f>
        <v>391128513.89005053</v>
      </c>
      <c r="CJ16" s="462">
        <f>L16+M16+AF16+AG16+AZ16+BA16+BT16+BU16</f>
        <v>0</v>
      </c>
      <c r="CK16" s="462">
        <f>N16+O16+AH16+AI16+BB16+BC16+BV16+BW16</f>
        <v>0</v>
      </c>
      <c r="CL16" s="462">
        <f>P16+Q16+AJ16+AK16+BD16+BE16+BX16+BY16</f>
        <v>0</v>
      </c>
      <c r="CM16" s="462">
        <f>+R16+S16+AL16+AM16+BF16+BG16+BZ16+CA16</f>
        <v>0</v>
      </c>
      <c r="CN16" s="464">
        <f>SUM(T16,AN16,BH16,CB16)</f>
        <v>0</v>
      </c>
      <c r="CO16" s="462">
        <f>+C16+D16+L16+M16+W16+X16+AF16+AG16+AQ16+AR16+AZ16+BA16+BK16+BL16+BT16+BU16</f>
        <v>90735960.090004712</v>
      </c>
      <c r="CP16" s="462">
        <f>+E16+F16+N16+O16+Y16+Z16+AH16+AI16+AS16+AT16+BB16+BC16+BM16+BN16+BV16+BW16</f>
        <v>95193608.830007449</v>
      </c>
      <c r="CQ16" s="462">
        <f>+G16+H16+P16+Q16+AA16+AB16+AJ16+AK16+AU16+AV16+BD16+BE16+BO16+BP16+BX16+BY16</f>
        <v>99887425.960017473</v>
      </c>
      <c r="CR16" s="462">
        <f>+I16+J16+R16+S16+AC16+AD16+AL16+AM16+AW16+AX16+BF16+BG16+BQ16+BR16+BZ16+CA16</f>
        <v>105311519.01002094</v>
      </c>
      <c r="CS16" s="464">
        <f t="shared" ref="CS16:CS23" si="13">SUM(CC16,BI16,AO16,U16)</f>
        <v>391128513.89005053</v>
      </c>
    </row>
    <row r="17" spans="1:99" ht="15.75" customHeight="1" x14ac:dyDescent="0.25">
      <c r="A17" s="94" t="s">
        <v>233</v>
      </c>
      <c r="B17" s="343"/>
      <c r="C17" s="671">
        <f>SUM('Schedule 3B_Income_Eastern:Schedule 3D_Income_The Cape'!C17)</f>
        <v>0</v>
      </c>
      <c r="D17" s="671">
        <f>SUM('Schedule 3B_Income_Eastern:Schedule 3D_Income_The Cape'!D17)</f>
        <v>0</v>
      </c>
      <c r="E17" s="671">
        <f>SUM('Schedule 3B_Income_Eastern:Schedule 3D_Income_The Cape'!E17)</f>
        <v>0</v>
      </c>
      <c r="F17" s="671">
        <f>SUM('Schedule 3B_Income_Eastern:Schedule 3D_Income_The Cape'!F17)</f>
        <v>0</v>
      </c>
      <c r="G17" s="671">
        <f>SUM('Schedule 3B_Income_Eastern:Schedule 3D_Income_The Cape'!G17)</f>
        <v>0</v>
      </c>
      <c r="H17" s="671">
        <f>SUM('Schedule 3B_Income_Eastern:Schedule 3D_Income_The Cape'!H17)</f>
        <v>0</v>
      </c>
      <c r="I17" s="671">
        <f>SUM('Schedule 3B_Income_Eastern:Schedule 3D_Income_The Cape'!I17)</f>
        <v>0</v>
      </c>
      <c r="J17" s="671">
        <f>SUM('Schedule 3B_Income_Eastern:Schedule 3D_Income_The Cape'!J17)</f>
        <v>0</v>
      </c>
      <c r="K17" s="672">
        <f t="shared" si="1"/>
        <v>0</v>
      </c>
      <c r="L17" s="673">
        <f>SUM('Schedule 3B_Income_Eastern:Schedule 3D_Income_The Cape'!L17)</f>
        <v>0</v>
      </c>
      <c r="M17" s="671">
        <f>SUM('Schedule 3B_Income_Eastern:Schedule 3D_Income_The Cape'!M17)</f>
        <v>6436982.0199999809</v>
      </c>
      <c r="N17" s="671">
        <f>SUM('Schedule 3B_Income_Eastern:Schedule 3D_Income_The Cape'!N17)</f>
        <v>0</v>
      </c>
      <c r="O17" s="671">
        <f>SUM('Schedule 3B_Income_Eastern:Schedule 3D_Income_The Cape'!O17)</f>
        <v>5804330.5641999887</v>
      </c>
      <c r="P17" s="671">
        <f>SUM('Schedule 3B_Income_Eastern:Schedule 3D_Income_The Cape'!P17)</f>
        <v>0</v>
      </c>
      <c r="Q17" s="671">
        <f>SUM('Schedule 3B_Income_Eastern:Schedule 3D_Income_The Cape'!Q17)</f>
        <v>6282523.7201999733</v>
      </c>
      <c r="R17" s="671">
        <f>SUM('Schedule 3B_Income_Eastern:Schedule 3D_Income_The Cape'!R17)</f>
        <v>0</v>
      </c>
      <c r="S17" s="671">
        <f>SUM('Schedule 3B_Income_Eastern:Schedule 3D_Income_The Cape'!S17)</f>
        <v>6321639.3520000018</v>
      </c>
      <c r="T17" s="674">
        <f t="shared" si="2"/>
        <v>24845475.656399943</v>
      </c>
      <c r="U17" s="675">
        <f t="shared" si="3"/>
        <v>24845475.656399943</v>
      </c>
      <c r="V17" s="343"/>
      <c r="W17" s="671">
        <f>SUM('Schedule 3B_Income_Eastern:Schedule 3D_Income_The Cape'!W17)</f>
        <v>0</v>
      </c>
      <c r="X17" s="671">
        <f>SUM('Schedule 3B_Income_Eastern:Schedule 3D_Income_The Cape'!X17)</f>
        <v>0</v>
      </c>
      <c r="Y17" s="671">
        <f>SUM('Schedule 3B_Income_Eastern:Schedule 3D_Income_The Cape'!Y17)</f>
        <v>0</v>
      </c>
      <c r="Z17" s="671">
        <f>SUM('Schedule 3B_Income_Eastern:Schedule 3D_Income_The Cape'!Z17)</f>
        <v>0</v>
      </c>
      <c r="AA17" s="671">
        <f>SUM('Schedule 3B_Income_Eastern:Schedule 3D_Income_The Cape'!AA17)</f>
        <v>0</v>
      </c>
      <c r="AB17" s="671">
        <f>SUM('Schedule 3B_Income_Eastern:Schedule 3D_Income_The Cape'!AB17)</f>
        <v>0</v>
      </c>
      <c r="AC17" s="671">
        <f>SUM('Schedule 3B_Income_Eastern:Schedule 3D_Income_The Cape'!AC17)</f>
        <v>0</v>
      </c>
      <c r="AD17" s="671">
        <f>SUM('Schedule 3B_Income_Eastern:Schedule 3D_Income_The Cape'!AD17)</f>
        <v>0</v>
      </c>
      <c r="AE17" s="672">
        <f t="shared" si="4"/>
        <v>0</v>
      </c>
      <c r="AF17" s="673">
        <f>SUM('Schedule 3B_Income_Eastern:Schedule 3D_Income_The Cape'!AF17)</f>
        <v>0</v>
      </c>
      <c r="AG17" s="671">
        <f>SUM('Schedule 3B_Income_Eastern:Schedule 3D_Income_The Cape'!AG17)</f>
        <v>2148703.3315999997</v>
      </c>
      <c r="AH17" s="671">
        <f>SUM('Schedule 3B_Income_Eastern:Schedule 3D_Income_The Cape'!AH17)</f>
        <v>0</v>
      </c>
      <c r="AI17" s="671">
        <f>SUM('Schedule 3B_Income_Eastern:Schedule 3D_Income_The Cape'!AI17)</f>
        <v>1743578.0152</v>
      </c>
      <c r="AJ17" s="671">
        <f>SUM('Schedule 3B_Income_Eastern:Schedule 3D_Income_The Cape'!AJ17)</f>
        <v>0</v>
      </c>
      <c r="AK17" s="671">
        <f>SUM('Schedule 3B_Income_Eastern:Schedule 3D_Income_The Cape'!AK17)</f>
        <v>1843944.2056</v>
      </c>
      <c r="AL17" s="671">
        <f>SUM('Schedule 3B_Income_Eastern:Schedule 3D_Income_The Cape'!AL17)</f>
        <v>0</v>
      </c>
      <c r="AM17" s="671">
        <f>SUM('Schedule 3B_Income_Eastern:Schedule 3D_Income_The Cape'!AM17)</f>
        <v>1871613.9274000002</v>
      </c>
      <c r="AN17" s="674">
        <f t="shared" si="5"/>
        <v>7607839.4797999999</v>
      </c>
      <c r="AO17" s="675">
        <f t="shared" si="6"/>
        <v>7607839.4797999999</v>
      </c>
      <c r="AP17" s="343"/>
      <c r="AQ17" s="671">
        <f>SUM('Schedule 3B_Income_Eastern:Schedule 3D_Income_The Cape'!AQ17)</f>
        <v>0</v>
      </c>
      <c r="AR17" s="671">
        <f>SUM('Schedule 3B_Income_Eastern:Schedule 3D_Income_The Cape'!AR17)</f>
        <v>0</v>
      </c>
      <c r="AS17" s="671">
        <f>SUM('Schedule 3B_Income_Eastern:Schedule 3D_Income_The Cape'!AS17)</f>
        <v>0</v>
      </c>
      <c r="AT17" s="671">
        <f>SUM('Schedule 3B_Income_Eastern:Schedule 3D_Income_The Cape'!AT17)</f>
        <v>0</v>
      </c>
      <c r="AU17" s="671">
        <f>SUM('Schedule 3B_Income_Eastern:Schedule 3D_Income_The Cape'!AU17)</f>
        <v>0</v>
      </c>
      <c r="AV17" s="671">
        <f>SUM('Schedule 3B_Income_Eastern:Schedule 3D_Income_The Cape'!AV17)</f>
        <v>0</v>
      </c>
      <c r="AW17" s="671">
        <f>SUM('Schedule 3B_Income_Eastern:Schedule 3D_Income_The Cape'!AW17)</f>
        <v>0</v>
      </c>
      <c r="AX17" s="671">
        <f>SUM('Schedule 3B_Income_Eastern:Schedule 3D_Income_The Cape'!AX17)</f>
        <v>0</v>
      </c>
      <c r="AY17" s="672">
        <f t="shared" si="7"/>
        <v>0</v>
      </c>
      <c r="AZ17" s="673">
        <f>SUM('Schedule 3B_Income_Eastern:Schedule 3D_Income_The Cape'!AZ17)</f>
        <v>0</v>
      </c>
      <c r="BA17" s="671">
        <f>SUM('Schedule 3B_Income_Eastern:Schedule 3D_Income_The Cape'!BA17)</f>
        <v>50210683.954199582</v>
      </c>
      <c r="BB17" s="671">
        <f>SUM('Schedule 3B_Income_Eastern:Schedule 3D_Income_The Cape'!BB17)</f>
        <v>0</v>
      </c>
      <c r="BC17" s="671">
        <f>SUM('Schedule 3B_Income_Eastern:Schedule 3D_Income_The Cape'!BC17)</f>
        <v>40392321.73339922</v>
      </c>
      <c r="BD17" s="671">
        <f>SUM('Schedule 3B_Income_Eastern:Schedule 3D_Income_The Cape'!BD17)</f>
        <v>0</v>
      </c>
      <c r="BE17" s="671">
        <f>SUM('Schedule 3B_Income_Eastern:Schedule 3D_Income_The Cape'!BE17)</f>
        <v>46140149.113799833</v>
      </c>
      <c r="BF17" s="671">
        <f>SUM('Schedule 3B_Income_Eastern:Schedule 3D_Income_The Cape'!BF17)</f>
        <v>0</v>
      </c>
      <c r="BG17" s="671">
        <f>SUM('Schedule 3B_Income_Eastern:Schedule 3D_Income_The Cape'!BG17)</f>
        <v>46345681.622799858</v>
      </c>
      <c r="BH17" s="674">
        <f t="shared" si="8"/>
        <v>183088836.42419851</v>
      </c>
      <c r="BI17" s="675">
        <f t="shared" si="9"/>
        <v>183088836.42419851</v>
      </c>
      <c r="BJ17" s="343"/>
      <c r="BK17" s="671">
        <f>SUM('Schedule 3B_Income_Eastern:Schedule 3D_Income_The Cape'!BK17)</f>
        <v>0</v>
      </c>
      <c r="BL17" s="671">
        <f>SUM('Schedule 3B_Income_Eastern:Schedule 3D_Income_The Cape'!BL17)</f>
        <v>0</v>
      </c>
      <c r="BM17" s="671">
        <f>SUM('Schedule 3B_Income_Eastern:Schedule 3D_Income_The Cape'!BM17)</f>
        <v>0</v>
      </c>
      <c r="BN17" s="671">
        <f>SUM('Schedule 3B_Income_Eastern:Schedule 3D_Income_The Cape'!BN17)</f>
        <v>0</v>
      </c>
      <c r="BO17" s="671">
        <f>SUM('Schedule 3B_Income_Eastern:Schedule 3D_Income_The Cape'!BO17)</f>
        <v>0</v>
      </c>
      <c r="BP17" s="671">
        <f>SUM('Schedule 3B_Income_Eastern:Schedule 3D_Income_The Cape'!BP17)</f>
        <v>0</v>
      </c>
      <c r="BQ17" s="671">
        <f>SUM('Schedule 3B_Income_Eastern:Schedule 3D_Income_The Cape'!BQ17)</f>
        <v>0</v>
      </c>
      <c r="BR17" s="671">
        <f>SUM('Schedule 3B_Income_Eastern:Schedule 3D_Income_The Cape'!BR17)</f>
        <v>0</v>
      </c>
      <c r="BS17" s="672">
        <f t="shared" si="10"/>
        <v>0</v>
      </c>
      <c r="BT17" s="673">
        <f>SUM('Schedule 3B_Income_Eastern:Schedule 3D_Income_The Cape'!BT17)</f>
        <v>0</v>
      </c>
      <c r="BU17" s="671">
        <f>SUM('Schedule 3B_Income_Eastern:Schedule 3D_Income_The Cape'!BU17)</f>
        <v>1961854.0619999999</v>
      </c>
      <c r="BV17" s="671">
        <f>SUM('Schedule 3B_Income_Eastern:Schedule 3D_Income_The Cape'!BV17)</f>
        <v>0</v>
      </c>
      <c r="BW17" s="671">
        <f>SUM('Schedule 3B_Income_Eastern:Schedule 3D_Income_The Cape'!BW17)</f>
        <v>1681647.7971999999</v>
      </c>
      <c r="BX17" s="671">
        <f>SUM('Schedule 3B_Income_Eastern:Schedule 3D_Income_The Cape'!BX17)</f>
        <v>0</v>
      </c>
      <c r="BY17" s="671">
        <f>SUM('Schedule 3B_Income_Eastern:Schedule 3D_Income_The Cape'!BY17)</f>
        <v>1752847.2178000002</v>
      </c>
      <c r="BZ17" s="671">
        <f>SUM('Schedule 3B_Income_Eastern:Schedule 3D_Income_The Cape'!BZ17)</f>
        <v>0</v>
      </c>
      <c r="CA17" s="671">
        <f>SUM('Schedule 3B_Income_Eastern:Schedule 3D_Income_The Cape'!CA17)</f>
        <v>2087443.5904000001</v>
      </c>
      <c r="CB17" s="674">
        <f t="shared" si="11"/>
        <v>7483792.6673999997</v>
      </c>
      <c r="CC17" s="675">
        <f t="shared" si="12"/>
        <v>7483792.6673999997</v>
      </c>
      <c r="CD17" s="343"/>
      <c r="CE17" s="462">
        <f t="shared" ref="CE17:CE23" si="14">+C17+D17+W17+X17+AQ17+AR17+BK17+BL17</f>
        <v>0</v>
      </c>
      <c r="CF17" s="462">
        <f t="shared" ref="CF17:CF23" si="15">+E17+F17+Y17+Z17+AS17+AT17+BM17+BN17</f>
        <v>0</v>
      </c>
      <c r="CG17" s="462">
        <f t="shared" ref="CG17:CG23" si="16">+G17+H17+AA17+AB17+AU17+AV17+BO17+BP17</f>
        <v>0</v>
      </c>
      <c r="CH17" s="462">
        <f t="shared" ref="CH17:CH23" si="17">+I17+J17+AC17+AD17+AW17+AX17+BQ17+BR17</f>
        <v>0</v>
      </c>
      <c r="CI17" s="464">
        <f t="shared" ref="CI17:CI23" si="18">SUM(K17,AE17,AY17,BS17)</f>
        <v>0</v>
      </c>
      <c r="CJ17" s="462">
        <f t="shared" ref="CJ17:CJ23" si="19">L17+M17+AF17+AG17+AZ17+BA17+BT17+BU17</f>
        <v>60758223.367799558</v>
      </c>
      <c r="CK17" s="462">
        <f t="shared" ref="CK17:CK23" si="20">N17+O17+AH17+AI17+BB17+BC17+BV17+BW17</f>
        <v>49621878.10999921</v>
      </c>
      <c r="CL17" s="462">
        <f t="shared" ref="CL17:CL23" si="21">P17+Q17+AJ17+AK17+BD17+BE17+BX17+BY17</f>
        <v>56019464.257399805</v>
      </c>
      <c r="CM17" s="462">
        <f t="shared" ref="CM17:CM23" si="22">+R17+S17+AL17+AM17+BF17+BG17+BZ17+CA17</f>
        <v>56626378.492599867</v>
      </c>
      <c r="CN17" s="464">
        <f t="shared" ref="CN17:CN23" si="23">SUM(T17,AN17,BH17,CB17)</f>
        <v>223025944.22779846</v>
      </c>
      <c r="CO17" s="462">
        <f t="shared" ref="CO17:CO23" si="24">+C17+D17+L17+M17+W17+X17+AF17+AG17+AQ17+AR17+AZ17+BA17+BK17+BL17+BT17+BU17</f>
        <v>60758223.367799558</v>
      </c>
      <c r="CP17" s="462">
        <f t="shared" ref="CP17:CP23" si="25">+E17+F17+N17+O17+Y17+Z17+AH17+AI17+AS17+AT17+BB17+BC17+BM17+BN17+BV17+BW17</f>
        <v>49621878.10999921</v>
      </c>
      <c r="CQ17" s="462">
        <f t="shared" ref="CQ17:CQ23" si="26">+G17+H17+P17+Q17+AA17+AB17+AJ17+AK17+AU17+AV17+BD17+BE17+BO17+BP17+BX17+BY17</f>
        <v>56019464.257399805</v>
      </c>
      <c r="CR17" s="462">
        <f t="shared" ref="CR17:CR23" si="27">+I17+J17+R17+S17+AC17+AD17+AL17+AM17+AW17+AX17+BF17+BG17+BQ17+BR17+BZ17+CA17</f>
        <v>56626378.492599867</v>
      </c>
      <c r="CS17" s="464">
        <f t="shared" si="13"/>
        <v>223025944.22779843</v>
      </c>
    </row>
    <row r="18" spans="1:99" ht="15.75" customHeight="1" x14ac:dyDescent="0.25">
      <c r="A18" s="94" t="s">
        <v>212</v>
      </c>
      <c r="B18" s="343"/>
      <c r="C18" s="671">
        <f>SUM('Schedule 3B_Income_Eastern:Schedule 3D_Income_The Cape'!C18)</f>
        <v>0</v>
      </c>
      <c r="D18" s="671">
        <f>SUM('Schedule 3B_Income_Eastern:Schedule 3D_Income_The Cape'!D18)</f>
        <v>0</v>
      </c>
      <c r="E18" s="671">
        <f>SUM('Schedule 3B_Income_Eastern:Schedule 3D_Income_The Cape'!E18)</f>
        <v>0</v>
      </c>
      <c r="F18" s="671">
        <f>SUM('Schedule 3B_Income_Eastern:Schedule 3D_Income_The Cape'!F18)</f>
        <v>0</v>
      </c>
      <c r="G18" s="671">
        <f>SUM('Schedule 3B_Income_Eastern:Schedule 3D_Income_The Cape'!G18)</f>
        <v>0</v>
      </c>
      <c r="H18" s="671">
        <f>SUM('Schedule 3B_Income_Eastern:Schedule 3D_Income_The Cape'!H18)</f>
        <v>0</v>
      </c>
      <c r="I18" s="671">
        <f>SUM('Schedule 3B_Income_Eastern:Schedule 3D_Income_The Cape'!I18)</f>
        <v>0</v>
      </c>
      <c r="J18" s="671">
        <f>SUM('Schedule 3B_Income_Eastern:Schedule 3D_Income_The Cape'!J18)</f>
        <v>0</v>
      </c>
      <c r="K18" s="672">
        <f t="shared" si="1"/>
        <v>0</v>
      </c>
      <c r="L18" s="673">
        <f>SUM('Schedule 3B_Income_Eastern:Schedule 3D_Income_The Cape'!L18)</f>
        <v>0</v>
      </c>
      <c r="M18" s="671">
        <f>SUM('Schedule 3B_Income_Eastern:Schedule 3D_Income_The Cape'!M18)</f>
        <v>199138.70479999899</v>
      </c>
      <c r="N18" s="671">
        <f>SUM('Schedule 3B_Income_Eastern:Schedule 3D_Income_The Cape'!N18)</f>
        <v>0</v>
      </c>
      <c r="O18" s="671">
        <f>SUM('Schedule 3B_Income_Eastern:Schedule 3D_Income_The Cape'!O18)</f>
        <v>146802.50060000102</v>
      </c>
      <c r="P18" s="671">
        <f>SUM('Schedule 3B_Income_Eastern:Schedule 3D_Income_The Cape'!P18)</f>
        <v>0</v>
      </c>
      <c r="Q18" s="671">
        <f>SUM('Schedule 3B_Income_Eastern:Schedule 3D_Income_The Cape'!Q18)</f>
        <v>165689.58000000101</v>
      </c>
      <c r="R18" s="671">
        <f>SUM('Schedule 3B_Income_Eastern:Schedule 3D_Income_The Cape'!R18)</f>
        <v>0</v>
      </c>
      <c r="S18" s="671">
        <f>SUM('Schedule 3B_Income_Eastern:Schedule 3D_Income_The Cape'!S18)</f>
        <v>157679.07960000099</v>
      </c>
      <c r="T18" s="674">
        <f t="shared" si="2"/>
        <v>669309.86500000197</v>
      </c>
      <c r="U18" s="675">
        <f t="shared" si="3"/>
        <v>669309.86500000197</v>
      </c>
      <c r="V18" s="343"/>
      <c r="W18" s="671">
        <f>SUM('Schedule 3B_Income_Eastern:Schedule 3D_Income_The Cape'!W18)</f>
        <v>0</v>
      </c>
      <c r="X18" s="671">
        <f>SUM('Schedule 3B_Income_Eastern:Schedule 3D_Income_The Cape'!X18)</f>
        <v>0</v>
      </c>
      <c r="Y18" s="671">
        <f>SUM('Schedule 3B_Income_Eastern:Schedule 3D_Income_The Cape'!Y18)</f>
        <v>0</v>
      </c>
      <c r="Z18" s="671">
        <f>SUM('Schedule 3B_Income_Eastern:Schedule 3D_Income_The Cape'!Z18)</f>
        <v>0</v>
      </c>
      <c r="AA18" s="671">
        <f>SUM('Schedule 3B_Income_Eastern:Schedule 3D_Income_The Cape'!AA18)</f>
        <v>0</v>
      </c>
      <c r="AB18" s="671">
        <f>SUM('Schedule 3B_Income_Eastern:Schedule 3D_Income_The Cape'!AB18)</f>
        <v>0</v>
      </c>
      <c r="AC18" s="671">
        <f>SUM('Schedule 3B_Income_Eastern:Schedule 3D_Income_The Cape'!AC18)</f>
        <v>0</v>
      </c>
      <c r="AD18" s="671">
        <f>SUM('Schedule 3B_Income_Eastern:Schedule 3D_Income_The Cape'!AD18)</f>
        <v>0</v>
      </c>
      <c r="AE18" s="672">
        <f t="shared" si="4"/>
        <v>0</v>
      </c>
      <c r="AF18" s="673">
        <f>SUM('Schedule 3B_Income_Eastern:Schedule 3D_Income_The Cape'!AF18)</f>
        <v>0</v>
      </c>
      <c r="AG18" s="671">
        <f>SUM('Schedule 3B_Income_Eastern:Schedule 3D_Income_The Cape'!AG18)</f>
        <v>80161.177599999908</v>
      </c>
      <c r="AH18" s="671">
        <f>SUM('Schedule 3B_Income_Eastern:Schedule 3D_Income_The Cape'!AH18)</f>
        <v>0</v>
      </c>
      <c r="AI18" s="671">
        <f>SUM('Schedule 3B_Income_Eastern:Schedule 3D_Income_The Cape'!AI18)</f>
        <v>58738.455999999904</v>
      </c>
      <c r="AJ18" s="671">
        <f>SUM('Schedule 3B_Income_Eastern:Schedule 3D_Income_The Cape'!AJ18)</f>
        <v>0</v>
      </c>
      <c r="AK18" s="671">
        <f>SUM('Schedule 3B_Income_Eastern:Schedule 3D_Income_The Cape'!AK18)</f>
        <v>64019.1859999999</v>
      </c>
      <c r="AL18" s="671">
        <f>SUM('Schedule 3B_Income_Eastern:Schedule 3D_Income_The Cape'!AL18)</f>
        <v>0</v>
      </c>
      <c r="AM18" s="671">
        <f>SUM('Schedule 3B_Income_Eastern:Schedule 3D_Income_The Cape'!AM18)</f>
        <v>62529.576199999807</v>
      </c>
      <c r="AN18" s="674">
        <f t="shared" si="5"/>
        <v>265448.39579999953</v>
      </c>
      <c r="AO18" s="675">
        <f t="shared" si="6"/>
        <v>265448.39579999953</v>
      </c>
      <c r="AP18" s="343"/>
      <c r="AQ18" s="671">
        <f>SUM('Schedule 3B_Income_Eastern:Schedule 3D_Income_The Cape'!AQ18)</f>
        <v>0</v>
      </c>
      <c r="AR18" s="671">
        <f>SUM('Schedule 3B_Income_Eastern:Schedule 3D_Income_The Cape'!AR18)</f>
        <v>0</v>
      </c>
      <c r="AS18" s="671">
        <f>SUM('Schedule 3B_Income_Eastern:Schedule 3D_Income_The Cape'!AS18)</f>
        <v>0</v>
      </c>
      <c r="AT18" s="671">
        <f>SUM('Schedule 3B_Income_Eastern:Schedule 3D_Income_The Cape'!AT18)</f>
        <v>0</v>
      </c>
      <c r="AU18" s="671">
        <f>SUM('Schedule 3B_Income_Eastern:Schedule 3D_Income_The Cape'!AU18)</f>
        <v>0</v>
      </c>
      <c r="AV18" s="671">
        <f>SUM('Schedule 3B_Income_Eastern:Schedule 3D_Income_The Cape'!AV18)</f>
        <v>0</v>
      </c>
      <c r="AW18" s="671">
        <f>SUM('Schedule 3B_Income_Eastern:Schedule 3D_Income_The Cape'!AW18)</f>
        <v>0</v>
      </c>
      <c r="AX18" s="671">
        <f>SUM('Schedule 3B_Income_Eastern:Schedule 3D_Income_The Cape'!AX18)</f>
        <v>0</v>
      </c>
      <c r="AY18" s="672">
        <f t="shared" si="7"/>
        <v>0</v>
      </c>
      <c r="AZ18" s="673">
        <f>SUM('Schedule 3B_Income_Eastern:Schedule 3D_Income_The Cape'!AZ18)</f>
        <v>0</v>
      </c>
      <c r="BA18" s="671">
        <f>SUM('Schedule 3B_Income_Eastern:Schedule 3D_Income_The Cape'!BA18)</f>
        <v>1495820.2070000002</v>
      </c>
      <c r="BB18" s="671">
        <f>SUM('Schedule 3B_Income_Eastern:Schedule 3D_Income_The Cape'!BB18)</f>
        <v>0</v>
      </c>
      <c r="BC18" s="671">
        <f>SUM('Schedule 3B_Income_Eastern:Schedule 3D_Income_The Cape'!BC18)</f>
        <v>1165972.9144000034</v>
      </c>
      <c r="BD18" s="671">
        <f>SUM('Schedule 3B_Income_Eastern:Schedule 3D_Income_The Cape'!BD18)</f>
        <v>0</v>
      </c>
      <c r="BE18" s="671">
        <f>SUM('Schedule 3B_Income_Eastern:Schedule 3D_Income_The Cape'!BE18)</f>
        <v>1315982.5336000011</v>
      </c>
      <c r="BF18" s="671">
        <f>SUM('Schedule 3B_Income_Eastern:Schedule 3D_Income_The Cape'!BF18)</f>
        <v>0</v>
      </c>
      <c r="BG18" s="671">
        <f>SUM('Schedule 3B_Income_Eastern:Schedule 3D_Income_The Cape'!BG18)</f>
        <v>1285994.9844000034</v>
      </c>
      <c r="BH18" s="674">
        <f t="shared" si="8"/>
        <v>5263770.6394000081</v>
      </c>
      <c r="BI18" s="675">
        <f t="shared" si="9"/>
        <v>5263770.6394000081</v>
      </c>
      <c r="BJ18" s="343"/>
      <c r="BK18" s="671">
        <f>SUM('Schedule 3B_Income_Eastern:Schedule 3D_Income_The Cape'!BK18)</f>
        <v>0</v>
      </c>
      <c r="BL18" s="671">
        <f>SUM('Schedule 3B_Income_Eastern:Schedule 3D_Income_The Cape'!BL18)</f>
        <v>0</v>
      </c>
      <c r="BM18" s="671">
        <f>SUM('Schedule 3B_Income_Eastern:Schedule 3D_Income_The Cape'!BM18)</f>
        <v>0</v>
      </c>
      <c r="BN18" s="671">
        <f>SUM('Schedule 3B_Income_Eastern:Schedule 3D_Income_The Cape'!BN18)</f>
        <v>0</v>
      </c>
      <c r="BO18" s="671">
        <f>SUM('Schedule 3B_Income_Eastern:Schedule 3D_Income_The Cape'!BO18)</f>
        <v>0</v>
      </c>
      <c r="BP18" s="671">
        <f>SUM('Schedule 3B_Income_Eastern:Schedule 3D_Income_The Cape'!BP18)</f>
        <v>0</v>
      </c>
      <c r="BQ18" s="671">
        <f>SUM('Schedule 3B_Income_Eastern:Schedule 3D_Income_The Cape'!BQ18)</f>
        <v>0</v>
      </c>
      <c r="BR18" s="671">
        <f>SUM('Schedule 3B_Income_Eastern:Schedule 3D_Income_The Cape'!BR18)</f>
        <v>0</v>
      </c>
      <c r="BS18" s="672">
        <f t="shared" si="10"/>
        <v>0</v>
      </c>
      <c r="BT18" s="673">
        <f>SUM('Schedule 3B_Income_Eastern:Schedule 3D_Income_The Cape'!BT18)</f>
        <v>0</v>
      </c>
      <c r="BU18" s="671">
        <f>SUM('Schedule 3B_Income_Eastern:Schedule 3D_Income_The Cape'!BU18)</f>
        <v>66728.778200000001</v>
      </c>
      <c r="BV18" s="671">
        <f>SUM('Schedule 3B_Income_Eastern:Schedule 3D_Income_The Cape'!BV18)</f>
        <v>0</v>
      </c>
      <c r="BW18" s="671">
        <f>SUM('Schedule 3B_Income_Eastern:Schedule 3D_Income_The Cape'!BW18)</f>
        <v>56758.414999999994</v>
      </c>
      <c r="BX18" s="671">
        <f>SUM('Schedule 3B_Income_Eastern:Schedule 3D_Income_The Cape'!BX18)</f>
        <v>0</v>
      </c>
      <c r="BY18" s="671">
        <f>SUM('Schedule 3B_Income_Eastern:Schedule 3D_Income_The Cape'!BY18)</f>
        <v>59390.812599999997</v>
      </c>
      <c r="BZ18" s="671">
        <f>SUM('Schedule 3B_Income_Eastern:Schedule 3D_Income_The Cape'!BZ18)</f>
        <v>0</v>
      </c>
      <c r="CA18" s="671">
        <f>SUM('Schedule 3B_Income_Eastern:Schedule 3D_Income_The Cape'!CA18)</f>
        <v>54078.604999999996</v>
      </c>
      <c r="CB18" s="674">
        <f t="shared" si="11"/>
        <v>236956.61079999997</v>
      </c>
      <c r="CC18" s="675">
        <f t="shared" si="12"/>
        <v>236956.61079999997</v>
      </c>
      <c r="CD18" s="343"/>
      <c r="CE18" s="462">
        <f t="shared" si="14"/>
        <v>0</v>
      </c>
      <c r="CF18" s="462">
        <f t="shared" si="15"/>
        <v>0</v>
      </c>
      <c r="CG18" s="462">
        <f t="shared" si="16"/>
        <v>0</v>
      </c>
      <c r="CH18" s="462">
        <f t="shared" si="17"/>
        <v>0</v>
      </c>
      <c r="CI18" s="464">
        <f t="shared" si="18"/>
        <v>0</v>
      </c>
      <c r="CJ18" s="462">
        <f t="shared" si="19"/>
        <v>1841848.8675999991</v>
      </c>
      <c r="CK18" s="462">
        <f t="shared" si="20"/>
        <v>1428272.2860000043</v>
      </c>
      <c r="CL18" s="462">
        <f t="shared" si="21"/>
        <v>1605082.1122000022</v>
      </c>
      <c r="CM18" s="462">
        <f t="shared" si="22"/>
        <v>1560282.2452000042</v>
      </c>
      <c r="CN18" s="464">
        <f t="shared" si="23"/>
        <v>6435485.5110000093</v>
      </c>
      <c r="CO18" s="462">
        <f t="shared" si="24"/>
        <v>1841848.8675999991</v>
      </c>
      <c r="CP18" s="462">
        <f t="shared" si="25"/>
        <v>1428272.2860000043</v>
      </c>
      <c r="CQ18" s="462">
        <f t="shared" si="26"/>
        <v>1605082.1122000022</v>
      </c>
      <c r="CR18" s="462">
        <f t="shared" si="27"/>
        <v>1560282.2452000042</v>
      </c>
      <c r="CS18" s="464">
        <f t="shared" si="13"/>
        <v>6435485.5110000093</v>
      </c>
    </row>
    <row r="19" spans="1:99" ht="15.75" customHeight="1" x14ac:dyDescent="0.25">
      <c r="A19" s="94" t="s">
        <v>213</v>
      </c>
      <c r="B19" s="343"/>
      <c r="C19" s="671">
        <f>SUM('Schedule 3B_Income_Eastern:Schedule 3D_Income_The Cape'!C19)</f>
        <v>0</v>
      </c>
      <c r="D19" s="671">
        <f>SUM('Schedule 3B_Income_Eastern:Schedule 3D_Income_The Cape'!D19)</f>
        <v>0</v>
      </c>
      <c r="E19" s="671">
        <f>SUM('Schedule 3B_Income_Eastern:Schedule 3D_Income_The Cape'!E19)</f>
        <v>0</v>
      </c>
      <c r="F19" s="671">
        <f>SUM('Schedule 3B_Income_Eastern:Schedule 3D_Income_The Cape'!F19)</f>
        <v>0</v>
      </c>
      <c r="G19" s="671">
        <f>SUM('Schedule 3B_Income_Eastern:Schedule 3D_Income_The Cape'!G19)</f>
        <v>0</v>
      </c>
      <c r="H19" s="671">
        <f>SUM('Schedule 3B_Income_Eastern:Schedule 3D_Income_The Cape'!H19)</f>
        <v>0</v>
      </c>
      <c r="I19" s="671">
        <f>SUM('Schedule 3B_Income_Eastern:Schedule 3D_Income_The Cape'!I19)</f>
        <v>0</v>
      </c>
      <c r="J19" s="671">
        <f>SUM('Schedule 3B_Income_Eastern:Schedule 3D_Income_The Cape'!J19)</f>
        <v>0</v>
      </c>
      <c r="K19" s="672">
        <f t="shared" si="1"/>
        <v>0</v>
      </c>
      <c r="L19" s="673">
        <f>SUM('Schedule 3B_Income_Eastern:Schedule 3D_Income_The Cape'!L19)</f>
        <v>0</v>
      </c>
      <c r="M19" s="671">
        <f>SUM('Schedule 3B_Income_Eastern:Schedule 3D_Income_The Cape'!M19)</f>
        <v>904139</v>
      </c>
      <c r="N19" s="671">
        <f>SUM('Schedule 3B_Income_Eastern:Schedule 3D_Income_The Cape'!N19)</f>
        <v>0</v>
      </c>
      <c r="O19" s="671">
        <f>SUM('Schedule 3B_Income_Eastern:Schedule 3D_Income_The Cape'!O19)</f>
        <v>1026801</v>
      </c>
      <c r="P19" s="671">
        <f>SUM('Schedule 3B_Income_Eastern:Schedule 3D_Income_The Cape'!P19)</f>
        <v>0</v>
      </c>
      <c r="Q19" s="671">
        <f>SUM('Schedule 3B_Income_Eastern:Schedule 3D_Income_The Cape'!Q19)</f>
        <v>1390467</v>
      </c>
      <c r="R19" s="671">
        <f>SUM('Schedule 3B_Income_Eastern:Schedule 3D_Income_The Cape'!R19)</f>
        <v>0</v>
      </c>
      <c r="S19" s="671">
        <f>SUM('Schedule 3B_Income_Eastern:Schedule 3D_Income_The Cape'!S19)</f>
        <v>1534429</v>
      </c>
      <c r="T19" s="674">
        <f t="shared" si="2"/>
        <v>4855836</v>
      </c>
      <c r="U19" s="675">
        <f t="shared" si="3"/>
        <v>4855836</v>
      </c>
      <c r="V19" s="343"/>
      <c r="W19" s="671">
        <f>SUM('Schedule 3B_Income_Eastern:Schedule 3D_Income_The Cape'!W19)</f>
        <v>0</v>
      </c>
      <c r="X19" s="671">
        <f>SUM('Schedule 3B_Income_Eastern:Schedule 3D_Income_The Cape'!X19)</f>
        <v>0</v>
      </c>
      <c r="Y19" s="671">
        <f>SUM('Schedule 3B_Income_Eastern:Schedule 3D_Income_The Cape'!Y19)</f>
        <v>0</v>
      </c>
      <c r="Z19" s="671">
        <f>SUM('Schedule 3B_Income_Eastern:Schedule 3D_Income_The Cape'!Z19)</f>
        <v>0</v>
      </c>
      <c r="AA19" s="671">
        <f>SUM('Schedule 3B_Income_Eastern:Schedule 3D_Income_The Cape'!AA19)</f>
        <v>0</v>
      </c>
      <c r="AB19" s="671">
        <f>SUM('Schedule 3B_Income_Eastern:Schedule 3D_Income_The Cape'!AB19)</f>
        <v>0</v>
      </c>
      <c r="AC19" s="671">
        <f>SUM('Schedule 3B_Income_Eastern:Schedule 3D_Income_The Cape'!AC19)</f>
        <v>0</v>
      </c>
      <c r="AD19" s="671">
        <f>SUM('Schedule 3B_Income_Eastern:Schedule 3D_Income_The Cape'!AD19)</f>
        <v>0</v>
      </c>
      <c r="AE19" s="672">
        <f t="shared" si="4"/>
        <v>0</v>
      </c>
      <c r="AF19" s="673">
        <f>SUM('Schedule 3B_Income_Eastern:Schedule 3D_Income_The Cape'!AF19)</f>
        <v>0</v>
      </c>
      <c r="AG19" s="671">
        <f>SUM('Schedule 3B_Income_Eastern:Schedule 3D_Income_The Cape'!AG19)</f>
        <v>422027</v>
      </c>
      <c r="AH19" s="671">
        <f>SUM('Schedule 3B_Income_Eastern:Schedule 3D_Income_The Cape'!AH19)</f>
        <v>0</v>
      </c>
      <c r="AI19" s="671">
        <f>SUM('Schedule 3B_Income_Eastern:Schedule 3D_Income_The Cape'!AI19)</f>
        <v>409072</v>
      </c>
      <c r="AJ19" s="671">
        <f>SUM('Schedule 3B_Income_Eastern:Schedule 3D_Income_The Cape'!AJ19)</f>
        <v>0</v>
      </c>
      <c r="AK19" s="671">
        <f>SUM('Schedule 3B_Income_Eastern:Schedule 3D_Income_The Cape'!AK19)</f>
        <v>486998</v>
      </c>
      <c r="AL19" s="671">
        <f>SUM('Schedule 3B_Income_Eastern:Schedule 3D_Income_The Cape'!AL19)</f>
        <v>0</v>
      </c>
      <c r="AM19" s="671">
        <f>SUM('Schedule 3B_Income_Eastern:Schedule 3D_Income_The Cape'!AM19)</f>
        <v>503015</v>
      </c>
      <c r="AN19" s="674">
        <f t="shared" si="5"/>
        <v>1821112</v>
      </c>
      <c r="AO19" s="675">
        <f t="shared" si="6"/>
        <v>1821112</v>
      </c>
      <c r="AP19" s="343"/>
      <c r="AQ19" s="671">
        <f>SUM('Schedule 3B_Income_Eastern:Schedule 3D_Income_The Cape'!AQ19)</f>
        <v>0</v>
      </c>
      <c r="AR19" s="671">
        <f>SUM('Schedule 3B_Income_Eastern:Schedule 3D_Income_The Cape'!AR19)</f>
        <v>0</v>
      </c>
      <c r="AS19" s="671">
        <f>SUM('Schedule 3B_Income_Eastern:Schedule 3D_Income_The Cape'!AS19)</f>
        <v>0</v>
      </c>
      <c r="AT19" s="671">
        <f>SUM('Schedule 3B_Income_Eastern:Schedule 3D_Income_The Cape'!AT19)</f>
        <v>0</v>
      </c>
      <c r="AU19" s="671">
        <f>SUM('Schedule 3B_Income_Eastern:Schedule 3D_Income_The Cape'!AU19)</f>
        <v>0</v>
      </c>
      <c r="AV19" s="671">
        <f>SUM('Schedule 3B_Income_Eastern:Schedule 3D_Income_The Cape'!AV19)</f>
        <v>0</v>
      </c>
      <c r="AW19" s="671">
        <f>SUM('Schedule 3B_Income_Eastern:Schedule 3D_Income_The Cape'!AW19)</f>
        <v>0</v>
      </c>
      <c r="AX19" s="671">
        <f>SUM('Schedule 3B_Income_Eastern:Schedule 3D_Income_The Cape'!AX19)</f>
        <v>0</v>
      </c>
      <c r="AY19" s="672">
        <f t="shared" si="7"/>
        <v>0</v>
      </c>
      <c r="AZ19" s="673">
        <f>SUM('Schedule 3B_Income_Eastern:Schedule 3D_Income_The Cape'!AZ19)</f>
        <v>0</v>
      </c>
      <c r="BA19" s="671">
        <f>SUM('Schedule 3B_Income_Eastern:Schedule 3D_Income_The Cape'!BA19)</f>
        <v>7655826</v>
      </c>
      <c r="BB19" s="671">
        <f>SUM('Schedule 3B_Income_Eastern:Schedule 3D_Income_The Cape'!BB19)</f>
        <v>0</v>
      </c>
      <c r="BC19" s="671">
        <f>SUM('Schedule 3B_Income_Eastern:Schedule 3D_Income_The Cape'!BC19)</f>
        <v>8585813</v>
      </c>
      <c r="BD19" s="671">
        <f>SUM('Schedule 3B_Income_Eastern:Schedule 3D_Income_The Cape'!BD19)</f>
        <v>0</v>
      </c>
      <c r="BE19" s="671">
        <f>SUM('Schedule 3B_Income_Eastern:Schedule 3D_Income_The Cape'!BE19)</f>
        <v>9860471</v>
      </c>
      <c r="BF19" s="671">
        <f>SUM('Schedule 3B_Income_Eastern:Schedule 3D_Income_The Cape'!BF19)</f>
        <v>0</v>
      </c>
      <c r="BG19" s="671">
        <f>SUM('Schedule 3B_Income_Eastern:Schedule 3D_Income_The Cape'!BG19)</f>
        <v>10499264</v>
      </c>
      <c r="BH19" s="674">
        <f t="shared" si="8"/>
        <v>36601374</v>
      </c>
      <c r="BI19" s="675">
        <f t="shared" si="9"/>
        <v>36601374</v>
      </c>
      <c r="BJ19" s="343"/>
      <c r="BK19" s="671">
        <f>SUM('Schedule 3B_Income_Eastern:Schedule 3D_Income_The Cape'!BK19)</f>
        <v>0</v>
      </c>
      <c r="BL19" s="671">
        <f>SUM('Schedule 3B_Income_Eastern:Schedule 3D_Income_The Cape'!BL19)</f>
        <v>0</v>
      </c>
      <c r="BM19" s="671">
        <f>SUM('Schedule 3B_Income_Eastern:Schedule 3D_Income_The Cape'!BM19)</f>
        <v>0</v>
      </c>
      <c r="BN19" s="671">
        <f>SUM('Schedule 3B_Income_Eastern:Schedule 3D_Income_The Cape'!BN19)</f>
        <v>0</v>
      </c>
      <c r="BO19" s="671">
        <f>SUM('Schedule 3B_Income_Eastern:Schedule 3D_Income_The Cape'!BO19)</f>
        <v>0</v>
      </c>
      <c r="BP19" s="671">
        <f>SUM('Schedule 3B_Income_Eastern:Schedule 3D_Income_The Cape'!BP19)</f>
        <v>0</v>
      </c>
      <c r="BQ19" s="671">
        <f>SUM('Schedule 3B_Income_Eastern:Schedule 3D_Income_The Cape'!BQ19)</f>
        <v>0</v>
      </c>
      <c r="BR19" s="671">
        <f>SUM('Schedule 3B_Income_Eastern:Schedule 3D_Income_The Cape'!BR19)</f>
        <v>0</v>
      </c>
      <c r="BS19" s="672">
        <f t="shared" si="10"/>
        <v>0</v>
      </c>
      <c r="BT19" s="673">
        <f>SUM('Schedule 3B_Income_Eastern:Schedule 3D_Income_The Cape'!BT19)</f>
        <v>0</v>
      </c>
      <c r="BU19" s="671">
        <f>SUM('Schedule 3B_Income_Eastern:Schedule 3D_Income_The Cape'!BU19)</f>
        <v>245362</v>
      </c>
      <c r="BV19" s="671">
        <f>SUM('Schedule 3B_Income_Eastern:Schedule 3D_Income_The Cape'!BV19)</f>
        <v>0</v>
      </c>
      <c r="BW19" s="671">
        <f>SUM('Schedule 3B_Income_Eastern:Schedule 3D_Income_The Cape'!BW19)</f>
        <v>282796</v>
      </c>
      <c r="BX19" s="671">
        <f>SUM('Schedule 3B_Income_Eastern:Schedule 3D_Income_The Cape'!BX19)</f>
        <v>0</v>
      </c>
      <c r="BY19" s="671">
        <f>SUM('Schedule 3B_Income_Eastern:Schedule 3D_Income_The Cape'!BY19)</f>
        <v>249090</v>
      </c>
      <c r="BZ19" s="671">
        <f>SUM('Schedule 3B_Income_Eastern:Schedule 3D_Income_The Cape'!BZ19)</f>
        <v>0</v>
      </c>
      <c r="CA19" s="671">
        <f>SUM('Schedule 3B_Income_Eastern:Schedule 3D_Income_The Cape'!CA19)</f>
        <v>193702</v>
      </c>
      <c r="CB19" s="674">
        <f t="shared" si="11"/>
        <v>970950</v>
      </c>
      <c r="CC19" s="675">
        <f t="shared" si="12"/>
        <v>970950</v>
      </c>
      <c r="CD19" s="343"/>
      <c r="CE19" s="462">
        <f t="shared" si="14"/>
        <v>0</v>
      </c>
      <c r="CF19" s="462">
        <f t="shared" si="15"/>
        <v>0</v>
      </c>
      <c r="CG19" s="462">
        <f t="shared" si="16"/>
        <v>0</v>
      </c>
      <c r="CH19" s="462">
        <f t="shared" si="17"/>
        <v>0</v>
      </c>
      <c r="CI19" s="464">
        <f t="shared" si="18"/>
        <v>0</v>
      </c>
      <c r="CJ19" s="462">
        <f t="shared" si="19"/>
        <v>9227354</v>
      </c>
      <c r="CK19" s="462">
        <f t="shared" si="20"/>
        <v>10304482</v>
      </c>
      <c r="CL19" s="462">
        <f t="shared" si="21"/>
        <v>11987026</v>
      </c>
      <c r="CM19" s="462">
        <f t="shared" si="22"/>
        <v>12730410</v>
      </c>
      <c r="CN19" s="464">
        <f t="shared" si="23"/>
        <v>44249272</v>
      </c>
      <c r="CO19" s="462">
        <f t="shared" si="24"/>
        <v>9227354</v>
      </c>
      <c r="CP19" s="462">
        <f t="shared" si="25"/>
        <v>10304482</v>
      </c>
      <c r="CQ19" s="462">
        <f t="shared" si="26"/>
        <v>11987026</v>
      </c>
      <c r="CR19" s="462">
        <f t="shared" si="27"/>
        <v>12730410</v>
      </c>
      <c r="CS19" s="464">
        <f t="shared" si="13"/>
        <v>44249272</v>
      </c>
    </row>
    <row r="20" spans="1:99" ht="15.75" customHeight="1" x14ac:dyDescent="0.25">
      <c r="A20" s="148" t="s">
        <v>210</v>
      </c>
      <c r="B20" s="343">
        <v>2</v>
      </c>
      <c r="C20" s="671">
        <f t="shared" ref="C20" si="28">SUM(C17:C19)</f>
        <v>0</v>
      </c>
      <c r="D20" s="671">
        <f t="shared" ref="D20:J20" si="29">SUM(D17:D19)</f>
        <v>0</v>
      </c>
      <c r="E20" s="671">
        <f t="shared" si="29"/>
        <v>0</v>
      </c>
      <c r="F20" s="671">
        <f t="shared" si="29"/>
        <v>0</v>
      </c>
      <c r="G20" s="671">
        <f t="shared" si="29"/>
        <v>0</v>
      </c>
      <c r="H20" s="671">
        <f t="shared" si="29"/>
        <v>0</v>
      </c>
      <c r="I20" s="671">
        <f t="shared" si="29"/>
        <v>0</v>
      </c>
      <c r="J20" s="671">
        <f t="shared" si="29"/>
        <v>0</v>
      </c>
      <c r="K20" s="672">
        <f t="shared" si="1"/>
        <v>0</v>
      </c>
      <c r="L20" s="673">
        <f t="shared" ref="L20:S20" si="30">SUM(L17:L19)</f>
        <v>0</v>
      </c>
      <c r="M20" s="671">
        <f t="shared" si="30"/>
        <v>7540259.7247999795</v>
      </c>
      <c r="N20" s="671">
        <f t="shared" si="30"/>
        <v>0</v>
      </c>
      <c r="O20" s="671">
        <f t="shared" si="30"/>
        <v>6977934.0647999896</v>
      </c>
      <c r="P20" s="671">
        <f t="shared" si="30"/>
        <v>0</v>
      </c>
      <c r="Q20" s="671">
        <f t="shared" si="30"/>
        <v>7838680.3001999743</v>
      </c>
      <c r="R20" s="671">
        <f t="shared" si="30"/>
        <v>0</v>
      </c>
      <c r="S20" s="671">
        <f t="shared" si="30"/>
        <v>8013747.4316000026</v>
      </c>
      <c r="T20" s="674">
        <f t="shared" si="2"/>
        <v>30370621.521399945</v>
      </c>
      <c r="U20" s="675">
        <f t="shared" si="3"/>
        <v>30370621.521399945</v>
      </c>
      <c r="V20" s="343">
        <v>2</v>
      </c>
      <c r="W20" s="671">
        <f t="shared" ref="W20:AD20" si="31">SUM(W17:W19)</f>
        <v>0</v>
      </c>
      <c r="X20" s="671">
        <f t="shared" si="31"/>
        <v>0</v>
      </c>
      <c r="Y20" s="671">
        <f t="shared" si="31"/>
        <v>0</v>
      </c>
      <c r="Z20" s="671">
        <f t="shared" si="31"/>
        <v>0</v>
      </c>
      <c r="AA20" s="671">
        <f t="shared" si="31"/>
        <v>0</v>
      </c>
      <c r="AB20" s="671">
        <f t="shared" si="31"/>
        <v>0</v>
      </c>
      <c r="AC20" s="671">
        <f t="shared" si="31"/>
        <v>0</v>
      </c>
      <c r="AD20" s="671">
        <f t="shared" si="31"/>
        <v>0</v>
      </c>
      <c r="AE20" s="672">
        <f t="shared" si="4"/>
        <v>0</v>
      </c>
      <c r="AF20" s="673">
        <f t="shared" ref="AF20:AM20" si="32">SUM(AF17:AF19)</f>
        <v>0</v>
      </c>
      <c r="AG20" s="671">
        <f t="shared" si="32"/>
        <v>2650891.5091999997</v>
      </c>
      <c r="AH20" s="671">
        <f t="shared" si="32"/>
        <v>0</v>
      </c>
      <c r="AI20" s="671">
        <f t="shared" si="32"/>
        <v>2211388.4712</v>
      </c>
      <c r="AJ20" s="671">
        <f t="shared" si="32"/>
        <v>0</v>
      </c>
      <c r="AK20" s="671">
        <f t="shared" si="32"/>
        <v>2394961.3915999997</v>
      </c>
      <c r="AL20" s="671">
        <f t="shared" si="32"/>
        <v>0</v>
      </c>
      <c r="AM20" s="671">
        <f t="shared" si="32"/>
        <v>2437158.5035999999</v>
      </c>
      <c r="AN20" s="674">
        <f t="shared" si="5"/>
        <v>9694399.875599999</v>
      </c>
      <c r="AO20" s="675">
        <f t="shared" si="6"/>
        <v>9694399.875599999</v>
      </c>
      <c r="AP20" s="343">
        <v>2</v>
      </c>
      <c r="AQ20" s="671">
        <f t="shared" ref="AQ20:AX20" si="33">SUM(AQ17:AQ19)</f>
        <v>0</v>
      </c>
      <c r="AR20" s="671">
        <f t="shared" si="33"/>
        <v>0</v>
      </c>
      <c r="AS20" s="671">
        <f t="shared" si="33"/>
        <v>0</v>
      </c>
      <c r="AT20" s="671">
        <f t="shared" si="33"/>
        <v>0</v>
      </c>
      <c r="AU20" s="671">
        <f t="shared" si="33"/>
        <v>0</v>
      </c>
      <c r="AV20" s="671">
        <f t="shared" si="33"/>
        <v>0</v>
      </c>
      <c r="AW20" s="671">
        <f t="shared" si="33"/>
        <v>0</v>
      </c>
      <c r="AX20" s="671">
        <f t="shared" si="33"/>
        <v>0</v>
      </c>
      <c r="AY20" s="672">
        <f t="shared" si="7"/>
        <v>0</v>
      </c>
      <c r="AZ20" s="673">
        <f t="shared" ref="AZ20:BG20" si="34">SUM(AZ17:AZ19)</f>
        <v>0</v>
      </c>
      <c r="BA20" s="671">
        <f t="shared" si="34"/>
        <v>59362330.161199585</v>
      </c>
      <c r="BB20" s="671">
        <f t="shared" si="34"/>
        <v>0</v>
      </c>
      <c r="BC20" s="671">
        <f t="shared" si="34"/>
        <v>50144107.647799224</v>
      </c>
      <c r="BD20" s="671">
        <f t="shared" si="34"/>
        <v>0</v>
      </c>
      <c r="BE20" s="671">
        <f t="shared" si="34"/>
        <v>57316602.647399835</v>
      </c>
      <c r="BF20" s="671">
        <f t="shared" si="34"/>
        <v>0</v>
      </c>
      <c r="BG20" s="671">
        <f t="shared" si="34"/>
        <v>58130940.607199863</v>
      </c>
      <c r="BH20" s="674">
        <f t="shared" si="8"/>
        <v>224953981.06359851</v>
      </c>
      <c r="BI20" s="675">
        <f t="shared" si="9"/>
        <v>224953981.06359851</v>
      </c>
      <c r="BJ20" s="343">
        <v>2</v>
      </c>
      <c r="BK20" s="671">
        <f t="shared" ref="BK20:BR20" si="35">SUM(BK17:BK19)</f>
        <v>0</v>
      </c>
      <c r="BL20" s="671">
        <f t="shared" si="35"/>
        <v>0</v>
      </c>
      <c r="BM20" s="671">
        <f t="shared" si="35"/>
        <v>0</v>
      </c>
      <c r="BN20" s="671">
        <f t="shared" si="35"/>
        <v>0</v>
      </c>
      <c r="BO20" s="671">
        <f t="shared" si="35"/>
        <v>0</v>
      </c>
      <c r="BP20" s="671">
        <f t="shared" si="35"/>
        <v>0</v>
      </c>
      <c r="BQ20" s="671">
        <f t="shared" si="35"/>
        <v>0</v>
      </c>
      <c r="BR20" s="671">
        <f t="shared" si="35"/>
        <v>0</v>
      </c>
      <c r="BS20" s="672">
        <f t="shared" si="10"/>
        <v>0</v>
      </c>
      <c r="BT20" s="673">
        <f t="shared" ref="BT20:CA20" si="36">SUM(BT17:BT19)</f>
        <v>0</v>
      </c>
      <c r="BU20" s="671">
        <f t="shared" si="36"/>
        <v>2273944.8402</v>
      </c>
      <c r="BV20" s="671">
        <f t="shared" si="36"/>
        <v>0</v>
      </c>
      <c r="BW20" s="671">
        <f t="shared" si="36"/>
        <v>2021202.2122</v>
      </c>
      <c r="BX20" s="671">
        <f t="shared" si="36"/>
        <v>0</v>
      </c>
      <c r="BY20" s="671">
        <f t="shared" si="36"/>
        <v>2061328.0304000003</v>
      </c>
      <c r="BZ20" s="671">
        <f t="shared" si="36"/>
        <v>0</v>
      </c>
      <c r="CA20" s="671">
        <f t="shared" si="36"/>
        <v>2335224.1954000001</v>
      </c>
      <c r="CB20" s="674">
        <f t="shared" si="11"/>
        <v>8691699.2782000005</v>
      </c>
      <c r="CC20" s="675">
        <f t="shared" si="12"/>
        <v>8691699.2782000005</v>
      </c>
      <c r="CD20" s="343">
        <v>2</v>
      </c>
      <c r="CE20" s="462">
        <f t="shared" si="14"/>
        <v>0</v>
      </c>
      <c r="CF20" s="462">
        <f t="shared" si="15"/>
        <v>0</v>
      </c>
      <c r="CG20" s="462">
        <f t="shared" si="16"/>
        <v>0</v>
      </c>
      <c r="CH20" s="462">
        <f t="shared" si="17"/>
        <v>0</v>
      </c>
      <c r="CI20" s="464">
        <f t="shared" si="18"/>
        <v>0</v>
      </c>
      <c r="CJ20" s="462">
        <f t="shared" si="19"/>
        <v>71827426.235399574</v>
      </c>
      <c r="CK20" s="462">
        <f t="shared" si="20"/>
        <v>61354632.395999216</v>
      </c>
      <c r="CL20" s="462">
        <f t="shared" si="21"/>
        <v>69611572.369599804</v>
      </c>
      <c r="CM20" s="462">
        <f t="shared" si="22"/>
        <v>70917070.737799868</v>
      </c>
      <c r="CN20" s="464">
        <f t="shared" si="23"/>
        <v>273710701.7387985</v>
      </c>
      <c r="CO20" s="462">
        <f t="shared" si="24"/>
        <v>71827426.235399574</v>
      </c>
      <c r="CP20" s="462">
        <f t="shared" si="25"/>
        <v>61354632.395999216</v>
      </c>
      <c r="CQ20" s="462">
        <f t="shared" si="26"/>
        <v>69611572.369599804</v>
      </c>
      <c r="CR20" s="462">
        <f t="shared" si="27"/>
        <v>70917070.737799868</v>
      </c>
      <c r="CS20" s="464">
        <f t="shared" si="13"/>
        <v>273710701.7387985</v>
      </c>
    </row>
    <row r="21" spans="1:99" ht="15.75" customHeight="1" x14ac:dyDescent="0.25">
      <c r="A21" s="94" t="s">
        <v>208</v>
      </c>
      <c r="B21" s="343">
        <v>3</v>
      </c>
      <c r="C21" s="671">
        <f>SUM('Schedule 3B_Income_Eastern:Schedule 3D_Income_The Cape'!C21)</f>
        <v>0</v>
      </c>
      <c r="D21" s="671">
        <f>SUM('Schedule 3B_Income_Eastern:Schedule 3D_Income_The Cape'!D21)</f>
        <v>0</v>
      </c>
      <c r="E21" s="671">
        <f>SUM('Schedule 3B_Income_Eastern:Schedule 3D_Income_The Cape'!E21)</f>
        <v>0</v>
      </c>
      <c r="F21" s="671">
        <f>SUM('Schedule 3B_Income_Eastern:Schedule 3D_Income_The Cape'!F21)</f>
        <v>0</v>
      </c>
      <c r="G21" s="671">
        <f>SUM('Schedule 3B_Income_Eastern:Schedule 3D_Income_The Cape'!G21)</f>
        <v>0</v>
      </c>
      <c r="H21" s="671">
        <f>SUM('Schedule 3B_Income_Eastern:Schedule 3D_Income_The Cape'!H21)</f>
        <v>0</v>
      </c>
      <c r="I21" s="671">
        <f>SUM('Schedule 3B_Income_Eastern:Schedule 3D_Income_The Cape'!I21)</f>
        <v>0</v>
      </c>
      <c r="J21" s="671">
        <f>SUM('Schedule 3B_Income_Eastern:Schedule 3D_Income_The Cape'!J21)</f>
        <v>0</v>
      </c>
      <c r="K21" s="672">
        <f t="shared" si="1"/>
        <v>0</v>
      </c>
      <c r="L21" s="673">
        <f>SUM('Schedule 3B_Income_Eastern:Schedule 3D_Income_The Cape'!L21)</f>
        <v>0</v>
      </c>
      <c r="M21" s="671">
        <f>SUM('Schedule 3B_Income_Eastern:Schedule 3D_Income_The Cape'!M21)</f>
        <v>0</v>
      </c>
      <c r="N21" s="671">
        <f>SUM('Schedule 3B_Income_Eastern:Schedule 3D_Income_The Cape'!N21)</f>
        <v>0</v>
      </c>
      <c r="O21" s="671">
        <f>SUM('Schedule 3B_Income_Eastern:Schedule 3D_Income_The Cape'!O21)</f>
        <v>0</v>
      </c>
      <c r="P21" s="671">
        <f>SUM('Schedule 3B_Income_Eastern:Schedule 3D_Income_The Cape'!P21)</f>
        <v>0</v>
      </c>
      <c r="Q21" s="671">
        <f>SUM('Schedule 3B_Income_Eastern:Schedule 3D_Income_The Cape'!Q21)</f>
        <v>0</v>
      </c>
      <c r="R21" s="671">
        <f>SUM('Schedule 3B_Income_Eastern:Schedule 3D_Income_The Cape'!R21)</f>
        <v>0</v>
      </c>
      <c r="S21" s="671">
        <f>SUM('Schedule 3B_Income_Eastern:Schedule 3D_Income_The Cape'!S21)</f>
        <v>0</v>
      </c>
      <c r="T21" s="674">
        <f t="shared" si="2"/>
        <v>0</v>
      </c>
      <c r="U21" s="675">
        <f t="shared" si="3"/>
        <v>0</v>
      </c>
      <c r="V21" s="343">
        <v>3</v>
      </c>
      <c r="W21" s="671">
        <f>SUM('Schedule 3B_Income_Eastern:Schedule 3D_Income_The Cape'!W21)</f>
        <v>0</v>
      </c>
      <c r="X21" s="671">
        <f>SUM('Schedule 3B_Income_Eastern:Schedule 3D_Income_The Cape'!X21)</f>
        <v>0</v>
      </c>
      <c r="Y21" s="671">
        <f>SUM('Schedule 3B_Income_Eastern:Schedule 3D_Income_The Cape'!Y21)</f>
        <v>0</v>
      </c>
      <c r="Z21" s="671">
        <f>SUM('Schedule 3B_Income_Eastern:Schedule 3D_Income_The Cape'!Z21)</f>
        <v>0</v>
      </c>
      <c r="AA21" s="671">
        <f>SUM('Schedule 3B_Income_Eastern:Schedule 3D_Income_The Cape'!AA21)</f>
        <v>0</v>
      </c>
      <c r="AB21" s="671">
        <f>SUM('Schedule 3B_Income_Eastern:Schedule 3D_Income_The Cape'!AB21)</f>
        <v>0</v>
      </c>
      <c r="AC21" s="671">
        <f>SUM('Schedule 3B_Income_Eastern:Schedule 3D_Income_The Cape'!AC21)</f>
        <v>0</v>
      </c>
      <c r="AD21" s="671">
        <f>SUM('Schedule 3B_Income_Eastern:Schedule 3D_Income_The Cape'!AD21)</f>
        <v>0</v>
      </c>
      <c r="AE21" s="672">
        <f t="shared" si="4"/>
        <v>0</v>
      </c>
      <c r="AF21" s="673">
        <f>SUM('Schedule 3B_Income_Eastern:Schedule 3D_Income_The Cape'!AF21)</f>
        <v>0</v>
      </c>
      <c r="AG21" s="671">
        <f>SUM('Schedule 3B_Income_Eastern:Schedule 3D_Income_The Cape'!AG21)</f>
        <v>0</v>
      </c>
      <c r="AH21" s="671">
        <f>SUM('Schedule 3B_Income_Eastern:Schedule 3D_Income_The Cape'!AH21)</f>
        <v>0</v>
      </c>
      <c r="AI21" s="671">
        <f>SUM('Schedule 3B_Income_Eastern:Schedule 3D_Income_The Cape'!AI21)</f>
        <v>0</v>
      </c>
      <c r="AJ21" s="671">
        <f>SUM('Schedule 3B_Income_Eastern:Schedule 3D_Income_The Cape'!AJ21)</f>
        <v>0</v>
      </c>
      <c r="AK21" s="671">
        <f>SUM('Schedule 3B_Income_Eastern:Schedule 3D_Income_The Cape'!AK21)</f>
        <v>0</v>
      </c>
      <c r="AL21" s="671">
        <f>SUM('Schedule 3B_Income_Eastern:Schedule 3D_Income_The Cape'!AL21)</f>
        <v>0</v>
      </c>
      <c r="AM21" s="671">
        <f>SUM('Schedule 3B_Income_Eastern:Schedule 3D_Income_The Cape'!AM21)</f>
        <v>0</v>
      </c>
      <c r="AN21" s="674">
        <f t="shared" si="5"/>
        <v>0</v>
      </c>
      <c r="AO21" s="675">
        <f t="shared" si="6"/>
        <v>0</v>
      </c>
      <c r="AP21" s="343">
        <v>3</v>
      </c>
      <c r="AQ21" s="671">
        <f>SUM('Schedule 3B_Income_Eastern:Schedule 3D_Income_The Cape'!AQ21)</f>
        <v>0</v>
      </c>
      <c r="AR21" s="671">
        <f>SUM('Schedule 3B_Income_Eastern:Schedule 3D_Income_The Cape'!AR21)</f>
        <v>0</v>
      </c>
      <c r="AS21" s="671">
        <f>SUM('Schedule 3B_Income_Eastern:Schedule 3D_Income_The Cape'!AS21)</f>
        <v>0</v>
      </c>
      <c r="AT21" s="671">
        <f>SUM('Schedule 3B_Income_Eastern:Schedule 3D_Income_The Cape'!AT21)</f>
        <v>0</v>
      </c>
      <c r="AU21" s="671">
        <f>SUM('Schedule 3B_Income_Eastern:Schedule 3D_Income_The Cape'!AU21)</f>
        <v>0</v>
      </c>
      <c r="AV21" s="671">
        <f>SUM('Schedule 3B_Income_Eastern:Schedule 3D_Income_The Cape'!AV21)</f>
        <v>0</v>
      </c>
      <c r="AW21" s="671">
        <f>SUM('Schedule 3B_Income_Eastern:Schedule 3D_Income_The Cape'!AW21)</f>
        <v>0</v>
      </c>
      <c r="AX21" s="671">
        <f>SUM('Schedule 3B_Income_Eastern:Schedule 3D_Income_The Cape'!AX21)</f>
        <v>0</v>
      </c>
      <c r="AY21" s="672">
        <f t="shared" si="7"/>
        <v>0</v>
      </c>
      <c r="AZ21" s="673">
        <f>SUM('Schedule 3B_Income_Eastern:Schedule 3D_Income_The Cape'!AZ21)</f>
        <v>0</v>
      </c>
      <c r="BA21" s="671">
        <f>SUM('Schedule 3B_Income_Eastern:Schedule 3D_Income_The Cape'!BA21)</f>
        <v>0</v>
      </c>
      <c r="BB21" s="671">
        <f>SUM('Schedule 3B_Income_Eastern:Schedule 3D_Income_The Cape'!BB21)</f>
        <v>0</v>
      </c>
      <c r="BC21" s="671">
        <f>SUM('Schedule 3B_Income_Eastern:Schedule 3D_Income_The Cape'!BC21)</f>
        <v>0</v>
      </c>
      <c r="BD21" s="671">
        <f>SUM('Schedule 3B_Income_Eastern:Schedule 3D_Income_The Cape'!BD21)</f>
        <v>0</v>
      </c>
      <c r="BE21" s="671">
        <f>SUM('Schedule 3B_Income_Eastern:Schedule 3D_Income_The Cape'!BE21)</f>
        <v>0</v>
      </c>
      <c r="BF21" s="671">
        <f>SUM('Schedule 3B_Income_Eastern:Schedule 3D_Income_The Cape'!BF21)</f>
        <v>0</v>
      </c>
      <c r="BG21" s="671">
        <f>SUM('Schedule 3B_Income_Eastern:Schedule 3D_Income_The Cape'!BG21)</f>
        <v>0</v>
      </c>
      <c r="BH21" s="674">
        <f t="shared" si="8"/>
        <v>0</v>
      </c>
      <c r="BI21" s="675">
        <f t="shared" si="9"/>
        <v>0</v>
      </c>
      <c r="BJ21" s="343">
        <v>3</v>
      </c>
      <c r="BK21" s="671">
        <f>SUM('Schedule 3B_Income_Eastern:Schedule 3D_Income_The Cape'!BK21)</f>
        <v>0</v>
      </c>
      <c r="BL21" s="671">
        <f>SUM('Schedule 3B_Income_Eastern:Schedule 3D_Income_The Cape'!BL21)</f>
        <v>0</v>
      </c>
      <c r="BM21" s="671">
        <f>SUM('Schedule 3B_Income_Eastern:Schedule 3D_Income_The Cape'!BM21)</f>
        <v>0</v>
      </c>
      <c r="BN21" s="671">
        <f>SUM('Schedule 3B_Income_Eastern:Schedule 3D_Income_The Cape'!BN21)</f>
        <v>0</v>
      </c>
      <c r="BO21" s="671">
        <f>SUM('Schedule 3B_Income_Eastern:Schedule 3D_Income_The Cape'!BO21)</f>
        <v>0</v>
      </c>
      <c r="BP21" s="671">
        <f>SUM('Schedule 3B_Income_Eastern:Schedule 3D_Income_The Cape'!BP21)</f>
        <v>0</v>
      </c>
      <c r="BQ21" s="671">
        <f>SUM('Schedule 3B_Income_Eastern:Schedule 3D_Income_The Cape'!BQ21)</f>
        <v>0</v>
      </c>
      <c r="BR21" s="671">
        <f>SUM('Schedule 3B_Income_Eastern:Schedule 3D_Income_The Cape'!BR21)</f>
        <v>0</v>
      </c>
      <c r="BS21" s="672">
        <f t="shared" si="10"/>
        <v>0</v>
      </c>
      <c r="BT21" s="673">
        <f>SUM('Schedule 3B_Income_Eastern:Schedule 3D_Income_The Cape'!BT21)</f>
        <v>0</v>
      </c>
      <c r="BU21" s="671">
        <f>SUM('Schedule 3B_Income_Eastern:Schedule 3D_Income_The Cape'!BU21)</f>
        <v>0</v>
      </c>
      <c r="BV21" s="671">
        <f>SUM('Schedule 3B_Income_Eastern:Schedule 3D_Income_The Cape'!BV21)</f>
        <v>0</v>
      </c>
      <c r="BW21" s="671">
        <f>SUM('Schedule 3B_Income_Eastern:Schedule 3D_Income_The Cape'!BW21)</f>
        <v>0</v>
      </c>
      <c r="BX21" s="671">
        <f>SUM('Schedule 3B_Income_Eastern:Schedule 3D_Income_The Cape'!BX21)</f>
        <v>0</v>
      </c>
      <c r="BY21" s="671">
        <f>SUM('Schedule 3B_Income_Eastern:Schedule 3D_Income_The Cape'!BY21)</f>
        <v>0</v>
      </c>
      <c r="BZ21" s="671">
        <f>SUM('Schedule 3B_Income_Eastern:Schedule 3D_Income_The Cape'!BZ21)</f>
        <v>0</v>
      </c>
      <c r="CA21" s="671">
        <f>SUM('Schedule 3B_Income_Eastern:Schedule 3D_Income_The Cape'!CA21)</f>
        <v>0</v>
      </c>
      <c r="CB21" s="674">
        <f t="shared" si="11"/>
        <v>0</v>
      </c>
      <c r="CC21" s="675">
        <f t="shared" si="12"/>
        <v>0</v>
      </c>
      <c r="CD21" s="343">
        <v>3</v>
      </c>
      <c r="CE21" s="462">
        <f t="shared" si="14"/>
        <v>0</v>
      </c>
      <c r="CF21" s="462">
        <f t="shared" si="15"/>
        <v>0</v>
      </c>
      <c r="CG21" s="462">
        <f t="shared" si="16"/>
        <v>0</v>
      </c>
      <c r="CH21" s="462">
        <f t="shared" si="17"/>
        <v>0</v>
      </c>
      <c r="CI21" s="464">
        <f t="shared" si="18"/>
        <v>0</v>
      </c>
      <c r="CJ21" s="462">
        <f t="shared" si="19"/>
        <v>0</v>
      </c>
      <c r="CK21" s="462">
        <f t="shared" si="20"/>
        <v>0</v>
      </c>
      <c r="CL21" s="462">
        <f t="shared" si="21"/>
        <v>0</v>
      </c>
      <c r="CM21" s="462">
        <f t="shared" si="22"/>
        <v>0</v>
      </c>
      <c r="CN21" s="464">
        <f t="shared" si="23"/>
        <v>0</v>
      </c>
      <c r="CO21" s="462">
        <f t="shared" si="24"/>
        <v>0</v>
      </c>
      <c r="CP21" s="462">
        <f t="shared" si="25"/>
        <v>0</v>
      </c>
      <c r="CQ21" s="462">
        <f t="shared" si="26"/>
        <v>0</v>
      </c>
      <c r="CR21" s="462">
        <f t="shared" si="27"/>
        <v>0</v>
      </c>
      <c r="CS21" s="464">
        <f t="shared" si="13"/>
        <v>0</v>
      </c>
    </row>
    <row r="22" spans="1:99" ht="15.75" customHeight="1" x14ac:dyDescent="0.25">
      <c r="A22" s="94" t="s">
        <v>209</v>
      </c>
      <c r="B22" s="343">
        <v>4</v>
      </c>
      <c r="C22" s="671">
        <f>SUM('Schedule 3B_Income_Eastern:Schedule 3D_Income_The Cape'!C22)</f>
        <v>0</v>
      </c>
      <c r="D22" s="671">
        <f>SUM('Schedule 3B_Income_Eastern:Schedule 3D_Income_The Cape'!D22)</f>
        <v>0</v>
      </c>
      <c r="E22" s="671">
        <f>SUM('Schedule 3B_Income_Eastern:Schedule 3D_Income_The Cape'!E22)</f>
        <v>0</v>
      </c>
      <c r="F22" s="671">
        <f>SUM('Schedule 3B_Income_Eastern:Schedule 3D_Income_The Cape'!F22)</f>
        <v>0</v>
      </c>
      <c r="G22" s="671">
        <f>SUM('Schedule 3B_Income_Eastern:Schedule 3D_Income_The Cape'!G22)</f>
        <v>0</v>
      </c>
      <c r="H22" s="671">
        <f>SUM('Schedule 3B_Income_Eastern:Schedule 3D_Income_The Cape'!H22)</f>
        <v>0</v>
      </c>
      <c r="I22" s="671">
        <f>SUM('Schedule 3B_Income_Eastern:Schedule 3D_Income_The Cape'!I22)</f>
        <v>0</v>
      </c>
      <c r="J22" s="671">
        <f>SUM('Schedule 3B_Income_Eastern:Schedule 3D_Income_The Cape'!J22)</f>
        <v>0</v>
      </c>
      <c r="K22" s="672">
        <f t="shared" si="1"/>
        <v>0</v>
      </c>
      <c r="L22" s="673">
        <f>SUM('Schedule 3B_Income_Eastern:Schedule 3D_Income_The Cape'!L22)</f>
        <v>0</v>
      </c>
      <c r="M22" s="671">
        <f>SUM('Schedule 3B_Income_Eastern:Schedule 3D_Income_The Cape'!M22)</f>
        <v>125834.58364103122</v>
      </c>
      <c r="N22" s="671">
        <f>SUM('Schedule 3B_Income_Eastern:Schedule 3D_Income_The Cape'!N22)</f>
        <v>0</v>
      </c>
      <c r="O22" s="671">
        <f>SUM('Schedule 3B_Income_Eastern:Schedule 3D_Income_The Cape'!O22)</f>
        <v>92586.662660696471</v>
      </c>
      <c r="P22" s="671">
        <f>SUM('Schedule 3B_Income_Eastern:Schedule 3D_Income_The Cape'!P22)</f>
        <v>0</v>
      </c>
      <c r="Q22" s="671">
        <f>SUM('Schedule 3B_Income_Eastern:Schedule 3D_Income_The Cape'!Q22)</f>
        <v>104543.40867463697</v>
      </c>
      <c r="R22" s="671">
        <f>SUM('Schedule 3B_Income_Eastern:Schedule 3D_Income_The Cape'!R22)</f>
        <v>0</v>
      </c>
      <c r="S22" s="671">
        <f>SUM('Schedule 3B_Income_Eastern:Schedule 3D_Income_The Cape'!S22)</f>
        <v>99431.813986595575</v>
      </c>
      <c r="T22" s="674">
        <f t="shared" si="2"/>
        <v>422396.46896296029</v>
      </c>
      <c r="U22" s="675">
        <f t="shared" si="3"/>
        <v>422396.46896296029</v>
      </c>
      <c r="V22" s="343">
        <v>4</v>
      </c>
      <c r="W22" s="671">
        <f>SUM('Schedule 3B_Income_Eastern:Schedule 3D_Income_The Cape'!W22)</f>
        <v>0</v>
      </c>
      <c r="X22" s="671">
        <f>SUM('Schedule 3B_Income_Eastern:Schedule 3D_Income_The Cape'!X22)</f>
        <v>0</v>
      </c>
      <c r="Y22" s="671">
        <f>SUM('Schedule 3B_Income_Eastern:Schedule 3D_Income_The Cape'!Y22)</f>
        <v>0</v>
      </c>
      <c r="Z22" s="671">
        <f>SUM('Schedule 3B_Income_Eastern:Schedule 3D_Income_The Cape'!Z22)</f>
        <v>0</v>
      </c>
      <c r="AA22" s="671">
        <f>SUM('Schedule 3B_Income_Eastern:Schedule 3D_Income_The Cape'!AA22)</f>
        <v>0</v>
      </c>
      <c r="AB22" s="671">
        <f>SUM('Schedule 3B_Income_Eastern:Schedule 3D_Income_The Cape'!AB22)</f>
        <v>0</v>
      </c>
      <c r="AC22" s="671">
        <f>SUM('Schedule 3B_Income_Eastern:Schedule 3D_Income_The Cape'!AC22)</f>
        <v>0</v>
      </c>
      <c r="AD22" s="671">
        <f>SUM('Schedule 3B_Income_Eastern:Schedule 3D_Income_The Cape'!AD22)</f>
        <v>0</v>
      </c>
      <c r="AE22" s="672">
        <f t="shared" si="4"/>
        <v>0</v>
      </c>
      <c r="AF22" s="673">
        <f>SUM('Schedule 3B_Income_Eastern:Schedule 3D_Income_The Cape'!AF22)</f>
        <v>0</v>
      </c>
      <c r="AG22" s="671">
        <f>SUM('Schedule 3B_Income_Eastern:Schedule 3D_Income_The Cape'!AG22)</f>
        <v>50727.31429569942</v>
      </c>
      <c r="AH22" s="671">
        <f>SUM('Schedule 3B_Income_Eastern:Schedule 3D_Income_The Cape'!AH22)</f>
        <v>0</v>
      </c>
      <c r="AI22" s="671">
        <f>SUM('Schedule 3B_Income_Eastern:Schedule 3D_Income_The Cape'!AI22)</f>
        <v>37142.403949064013</v>
      </c>
      <c r="AJ22" s="671">
        <f>SUM('Schedule 3B_Income_Eastern:Schedule 3D_Income_The Cape'!AJ22)</f>
        <v>0</v>
      </c>
      <c r="AK22" s="671">
        <f>SUM('Schedule 3B_Income_Eastern:Schedule 3D_Income_The Cape'!AK22)</f>
        <v>40491.018889063314</v>
      </c>
      <c r="AL22" s="671">
        <f>SUM('Schedule 3B_Income_Eastern:Schedule 3D_Income_The Cape'!AL22)</f>
        <v>0</v>
      </c>
      <c r="AM22" s="671">
        <f>SUM('Schedule 3B_Income_Eastern:Schedule 3D_Income_The Cape'!AM22)</f>
        <v>39537.073000692646</v>
      </c>
      <c r="AN22" s="674">
        <f t="shared" si="5"/>
        <v>167897.81013451942</v>
      </c>
      <c r="AO22" s="675">
        <f t="shared" si="6"/>
        <v>167897.81013451942</v>
      </c>
      <c r="AP22" s="343">
        <v>4</v>
      </c>
      <c r="AQ22" s="671">
        <f>SUM('Schedule 3B_Income_Eastern:Schedule 3D_Income_The Cape'!AQ22)</f>
        <v>0</v>
      </c>
      <c r="AR22" s="671">
        <f>SUM('Schedule 3B_Income_Eastern:Schedule 3D_Income_The Cape'!AR22)</f>
        <v>0</v>
      </c>
      <c r="AS22" s="671">
        <f>SUM('Schedule 3B_Income_Eastern:Schedule 3D_Income_The Cape'!AS22)</f>
        <v>0</v>
      </c>
      <c r="AT22" s="671">
        <f>SUM('Schedule 3B_Income_Eastern:Schedule 3D_Income_The Cape'!AT22)</f>
        <v>0</v>
      </c>
      <c r="AU22" s="671">
        <f>SUM('Schedule 3B_Income_Eastern:Schedule 3D_Income_The Cape'!AU22)</f>
        <v>0</v>
      </c>
      <c r="AV22" s="671">
        <f>SUM('Schedule 3B_Income_Eastern:Schedule 3D_Income_The Cape'!AV22)</f>
        <v>0</v>
      </c>
      <c r="AW22" s="671">
        <f>SUM('Schedule 3B_Income_Eastern:Schedule 3D_Income_The Cape'!AW22)</f>
        <v>0</v>
      </c>
      <c r="AX22" s="671">
        <f>SUM('Schedule 3B_Income_Eastern:Schedule 3D_Income_The Cape'!AX22)</f>
        <v>0</v>
      </c>
      <c r="AY22" s="672">
        <f t="shared" si="7"/>
        <v>0</v>
      </c>
      <c r="AZ22" s="673">
        <f>SUM('Schedule 3B_Income_Eastern:Schedule 3D_Income_The Cape'!AZ22)</f>
        <v>0</v>
      </c>
      <c r="BA22" s="671">
        <f>SUM('Schedule 3B_Income_Eastern:Schedule 3D_Income_The Cape'!BA22)</f>
        <v>944889.28761402005</v>
      </c>
      <c r="BB22" s="671">
        <f>SUM('Schedule 3B_Income_Eastern:Schedule 3D_Income_The Cape'!BB22)</f>
        <v>0</v>
      </c>
      <c r="BC22" s="671">
        <f>SUM('Schedule 3B_Income_Eastern:Schedule 3D_Income_The Cape'!BC22)</f>
        <v>736319.72883639031</v>
      </c>
      <c r="BD22" s="671">
        <f>SUM('Schedule 3B_Income_Eastern:Schedule 3D_Income_The Cape'!BD22)</f>
        <v>0</v>
      </c>
      <c r="BE22" s="671">
        <f>SUM('Schedule 3B_Income_Eastern:Schedule 3D_Income_The Cape'!BE22)</f>
        <v>830959.7168165996</v>
      </c>
      <c r="BF22" s="671">
        <f>SUM('Schedule 3B_Income_Eastern:Schedule 3D_Income_The Cape'!BF22)</f>
        <v>0</v>
      </c>
      <c r="BG22" s="671">
        <f>SUM('Schedule 3B_Income_Eastern:Schedule 3D_Income_The Cape'!BG22)</f>
        <v>811814.4319147598</v>
      </c>
      <c r="BH22" s="674">
        <f t="shared" si="8"/>
        <v>3323983.1651817695</v>
      </c>
      <c r="BI22" s="675">
        <f t="shared" si="9"/>
        <v>3323983.1651817695</v>
      </c>
      <c r="BJ22" s="343">
        <v>4</v>
      </c>
      <c r="BK22" s="671">
        <f>SUM('Schedule 3B_Income_Eastern:Schedule 3D_Income_The Cape'!BK22)</f>
        <v>0</v>
      </c>
      <c r="BL22" s="671">
        <f>SUM('Schedule 3B_Income_Eastern:Schedule 3D_Income_The Cape'!BL22)</f>
        <v>0</v>
      </c>
      <c r="BM22" s="671">
        <f>SUM('Schedule 3B_Income_Eastern:Schedule 3D_Income_The Cape'!BM22)</f>
        <v>0</v>
      </c>
      <c r="BN22" s="671">
        <f>SUM('Schedule 3B_Income_Eastern:Schedule 3D_Income_The Cape'!BN22)</f>
        <v>0</v>
      </c>
      <c r="BO22" s="671">
        <f>SUM('Schedule 3B_Income_Eastern:Schedule 3D_Income_The Cape'!BO22)</f>
        <v>0</v>
      </c>
      <c r="BP22" s="671">
        <f>SUM('Schedule 3B_Income_Eastern:Schedule 3D_Income_The Cape'!BP22)</f>
        <v>0</v>
      </c>
      <c r="BQ22" s="671">
        <f>SUM('Schedule 3B_Income_Eastern:Schedule 3D_Income_The Cape'!BQ22)</f>
        <v>0</v>
      </c>
      <c r="BR22" s="671">
        <f>SUM('Schedule 3B_Income_Eastern:Schedule 3D_Income_The Cape'!BR22)</f>
        <v>0</v>
      </c>
      <c r="BS22" s="672">
        <f t="shared" si="10"/>
        <v>0</v>
      </c>
      <c r="BT22" s="673">
        <f>SUM('Schedule 3B_Income_Eastern:Schedule 3D_Income_The Cape'!BT22)</f>
        <v>0</v>
      </c>
      <c r="BU22" s="671">
        <f>SUM('Schedule 3B_Income_Eastern:Schedule 3D_Income_The Cape'!BU22)</f>
        <v>42198.126853755501</v>
      </c>
      <c r="BV22" s="671">
        <f>SUM('Schedule 3B_Income_Eastern:Schedule 3D_Income_The Cape'!BV22)</f>
        <v>0</v>
      </c>
      <c r="BW22" s="671">
        <f>SUM('Schedule 3B_Income_Eastern:Schedule 3D_Income_The Cape'!BW22)</f>
        <v>35890.88122329297</v>
      </c>
      <c r="BX22" s="671">
        <f>SUM('Schedule 3B_Income_Eastern:Schedule 3D_Income_The Cape'!BX22)</f>
        <v>0</v>
      </c>
      <c r="BY22" s="671">
        <f>SUM('Schedule 3B_Income_Eastern:Schedule 3D_Income_The Cape'!BY22)</f>
        <v>37556.599099165134</v>
      </c>
      <c r="BZ22" s="671">
        <f>SUM('Schedule 3B_Income_Eastern:Schedule 3D_Income_The Cape'!BZ22)</f>
        <v>0</v>
      </c>
      <c r="CA22" s="671">
        <f>SUM('Schedule 3B_Income_Eastern:Schedule 3D_Income_The Cape'!CA22)</f>
        <v>34115.237736372219</v>
      </c>
      <c r="CB22" s="674">
        <f t="shared" si="11"/>
        <v>149760.8449125858</v>
      </c>
      <c r="CC22" s="675">
        <f t="shared" si="12"/>
        <v>149760.8449125858</v>
      </c>
      <c r="CD22" s="343">
        <v>4</v>
      </c>
      <c r="CE22" s="462">
        <f t="shared" si="14"/>
        <v>0</v>
      </c>
      <c r="CF22" s="462">
        <f t="shared" si="15"/>
        <v>0</v>
      </c>
      <c r="CG22" s="462">
        <f t="shared" si="16"/>
        <v>0</v>
      </c>
      <c r="CH22" s="462">
        <f t="shared" si="17"/>
        <v>0</v>
      </c>
      <c r="CI22" s="464">
        <f t="shared" si="18"/>
        <v>0</v>
      </c>
      <c r="CJ22" s="462">
        <f t="shared" si="19"/>
        <v>1163649.3124045061</v>
      </c>
      <c r="CK22" s="462">
        <f t="shared" si="20"/>
        <v>901939.67666944384</v>
      </c>
      <c r="CL22" s="462">
        <f t="shared" si="21"/>
        <v>1013550.743479465</v>
      </c>
      <c r="CM22" s="462">
        <f t="shared" si="22"/>
        <v>984898.55663842033</v>
      </c>
      <c r="CN22" s="464">
        <f t="shared" si="23"/>
        <v>4064038.2891918351</v>
      </c>
      <c r="CO22" s="462">
        <f t="shared" si="24"/>
        <v>1163649.3124045061</v>
      </c>
      <c r="CP22" s="462">
        <f t="shared" si="25"/>
        <v>901939.67666944384</v>
      </c>
      <c r="CQ22" s="462">
        <f t="shared" si="26"/>
        <v>1013550.743479465</v>
      </c>
      <c r="CR22" s="462">
        <f t="shared" si="27"/>
        <v>984898.55663842033</v>
      </c>
      <c r="CS22" s="464">
        <f t="shared" si="13"/>
        <v>4064038.2891918351</v>
      </c>
    </row>
    <row r="23" spans="1:99" ht="15.75" customHeight="1" x14ac:dyDescent="0.25">
      <c r="A23" s="148" t="s">
        <v>44</v>
      </c>
      <c r="B23" s="343">
        <v>5</v>
      </c>
      <c r="C23" s="671">
        <f t="shared" ref="C23" si="37">SUM(C20:C22)+C16</f>
        <v>1307128.7700000301</v>
      </c>
      <c r="D23" s="671">
        <f t="shared" ref="D23:J23" si="38">SUM(D20:D22)+D16</f>
        <v>2748729.3400002411</v>
      </c>
      <c r="E23" s="671">
        <f t="shared" si="38"/>
        <v>1341341.6300000299</v>
      </c>
      <c r="F23" s="671">
        <f t="shared" si="38"/>
        <v>2840054.1000002613</v>
      </c>
      <c r="G23" s="671">
        <f t="shared" si="38"/>
        <v>1385971.5800000401</v>
      </c>
      <c r="H23" s="671">
        <f t="shared" si="38"/>
        <v>2971360.1100002816</v>
      </c>
      <c r="I23" s="671">
        <f t="shared" si="38"/>
        <v>1442131.6200000402</v>
      </c>
      <c r="J23" s="671">
        <f t="shared" si="38"/>
        <v>3017796.5900002834</v>
      </c>
      <c r="K23" s="672">
        <f t="shared" si="1"/>
        <v>17054513.740001209</v>
      </c>
      <c r="L23" s="673">
        <f t="shared" ref="L23:S23" si="39">SUM(L20:L22)+L16</f>
        <v>0</v>
      </c>
      <c r="M23" s="671">
        <f t="shared" si="39"/>
        <v>7666094.3084410103</v>
      </c>
      <c r="N23" s="671">
        <f t="shared" si="39"/>
        <v>0</v>
      </c>
      <c r="O23" s="671">
        <f t="shared" si="39"/>
        <v>7070520.7274606861</v>
      </c>
      <c r="P23" s="671">
        <f t="shared" si="39"/>
        <v>0</v>
      </c>
      <c r="Q23" s="671">
        <f t="shared" si="39"/>
        <v>7943223.7088746112</v>
      </c>
      <c r="R23" s="671">
        <f t="shared" si="39"/>
        <v>0</v>
      </c>
      <c r="S23" s="671">
        <f t="shared" si="39"/>
        <v>8113179.2455865983</v>
      </c>
      <c r="T23" s="674">
        <f t="shared" si="2"/>
        <v>30793017.990362905</v>
      </c>
      <c r="U23" s="237">
        <f t="shared" si="3"/>
        <v>47847531.730364114</v>
      </c>
      <c r="V23" s="343">
        <v>5</v>
      </c>
      <c r="W23" s="671">
        <f t="shared" ref="W23:AD23" si="40">SUM(W20:W22)+W16</f>
        <v>213609.91999999998</v>
      </c>
      <c r="X23" s="671">
        <f t="shared" si="40"/>
        <v>1419351.3100000189</v>
      </c>
      <c r="Y23" s="671">
        <f t="shared" si="40"/>
        <v>211953.99</v>
      </c>
      <c r="Z23" s="671">
        <f t="shared" si="40"/>
        <v>1356663.7700000182</v>
      </c>
      <c r="AA23" s="671">
        <f t="shared" si="40"/>
        <v>207474.36</v>
      </c>
      <c r="AB23" s="671">
        <f t="shared" si="40"/>
        <v>1365124.360000019</v>
      </c>
      <c r="AC23" s="671">
        <f t="shared" si="40"/>
        <v>232724.79</v>
      </c>
      <c r="AD23" s="671">
        <f t="shared" si="40"/>
        <v>1416501.0300000201</v>
      </c>
      <c r="AE23" s="672">
        <f t="shared" si="4"/>
        <v>6423403.5300000757</v>
      </c>
      <c r="AF23" s="673">
        <f t="shared" ref="AF23:AM23" si="41">SUM(AF20:AF22)+AF16</f>
        <v>0</v>
      </c>
      <c r="AG23" s="671">
        <f t="shared" si="41"/>
        <v>2701618.8234956991</v>
      </c>
      <c r="AH23" s="671">
        <f t="shared" si="41"/>
        <v>0</v>
      </c>
      <c r="AI23" s="671">
        <f t="shared" si="41"/>
        <v>2248530.8751490642</v>
      </c>
      <c r="AJ23" s="671">
        <f t="shared" si="41"/>
        <v>0</v>
      </c>
      <c r="AK23" s="671">
        <f t="shared" si="41"/>
        <v>2435452.4104890632</v>
      </c>
      <c r="AL23" s="671">
        <f t="shared" si="41"/>
        <v>0</v>
      </c>
      <c r="AM23" s="671">
        <f t="shared" si="41"/>
        <v>2476695.5766006927</v>
      </c>
      <c r="AN23" s="674">
        <f t="shared" si="5"/>
        <v>9862297.6857345197</v>
      </c>
      <c r="AO23" s="237">
        <f t="shared" si="6"/>
        <v>16285701.215734595</v>
      </c>
      <c r="AP23" s="343">
        <v>5</v>
      </c>
      <c r="AQ23" s="671">
        <f t="shared" ref="AQ23:AX23" si="42">SUM(AQ20:AQ22)+AQ16</f>
        <v>23372618.689998191</v>
      </c>
      <c r="AR23" s="671">
        <f t="shared" si="42"/>
        <v>55267424.72000622</v>
      </c>
      <c r="AS23" s="671">
        <f t="shared" si="42"/>
        <v>25005834.309998002</v>
      </c>
      <c r="AT23" s="671">
        <f t="shared" si="42"/>
        <v>58136062.830009133</v>
      </c>
      <c r="AU23" s="671">
        <f t="shared" si="42"/>
        <v>26365615.860000599</v>
      </c>
      <c r="AV23" s="671">
        <f t="shared" si="42"/>
        <v>61461835.75001654</v>
      </c>
      <c r="AW23" s="671">
        <f t="shared" si="42"/>
        <v>28527343.080001201</v>
      </c>
      <c r="AX23" s="671">
        <f t="shared" si="42"/>
        <v>64223220.120019406</v>
      </c>
      <c r="AY23" s="672">
        <f t="shared" si="7"/>
        <v>342359955.36004925</v>
      </c>
      <c r="AZ23" s="673">
        <f t="shared" ref="AZ23:BG23" si="43">SUM(AZ20:AZ22)+AZ16</f>
        <v>0</v>
      </c>
      <c r="BA23" s="671">
        <f t="shared" si="43"/>
        <v>60307219.448813602</v>
      </c>
      <c r="BB23" s="671">
        <f t="shared" si="43"/>
        <v>0</v>
      </c>
      <c r="BC23" s="671">
        <f t="shared" si="43"/>
        <v>50880427.376635611</v>
      </c>
      <c r="BD23" s="671">
        <f t="shared" si="43"/>
        <v>0</v>
      </c>
      <c r="BE23" s="671">
        <f t="shared" si="43"/>
        <v>58147562.364216432</v>
      </c>
      <c r="BF23" s="671">
        <f t="shared" si="43"/>
        <v>0</v>
      </c>
      <c r="BG23" s="671">
        <f t="shared" si="43"/>
        <v>58942755.039114624</v>
      </c>
      <c r="BH23" s="674">
        <f t="shared" si="8"/>
        <v>228277964.22878027</v>
      </c>
      <c r="BI23" s="237">
        <f t="shared" si="9"/>
        <v>570637919.58882952</v>
      </c>
      <c r="BJ23" s="343">
        <v>5</v>
      </c>
      <c r="BK23" s="671">
        <f t="shared" ref="BK23:BR23" si="44">SUM(BK20:BK22)+BK16</f>
        <v>523008.58999999997</v>
      </c>
      <c r="BL23" s="671">
        <f t="shared" si="44"/>
        <v>5884088.7500000009</v>
      </c>
      <c r="BM23" s="671">
        <f t="shared" si="44"/>
        <v>537647.22</v>
      </c>
      <c r="BN23" s="671">
        <f t="shared" si="44"/>
        <v>5764050.9799999986</v>
      </c>
      <c r="BO23" s="671">
        <f t="shared" si="44"/>
        <v>510340.16000000003</v>
      </c>
      <c r="BP23" s="671">
        <f t="shared" si="44"/>
        <v>5619703.7800000012</v>
      </c>
      <c r="BQ23" s="671">
        <f t="shared" si="44"/>
        <v>612755.06000000006</v>
      </c>
      <c r="BR23" s="671">
        <f t="shared" si="44"/>
        <v>5839046.7200000007</v>
      </c>
      <c r="BS23" s="672">
        <f t="shared" si="10"/>
        <v>25290641.259999998</v>
      </c>
      <c r="BT23" s="673">
        <f t="shared" ref="BT23:CA23" si="45">SUM(BT20:BT22)+BT16</f>
        <v>0</v>
      </c>
      <c r="BU23" s="671">
        <f t="shared" si="45"/>
        <v>2316142.9670537557</v>
      </c>
      <c r="BV23" s="671">
        <f t="shared" si="45"/>
        <v>0</v>
      </c>
      <c r="BW23" s="671">
        <f t="shared" si="45"/>
        <v>2057093.093423293</v>
      </c>
      <c r="BX23" s="671">
        <f t="shared" si="45"/>
        <v>0</v>
      </c>
      <c r="BY23" s="671">
        <f t="shared" si="45"/>
        <v>2098884.6294991653</v>
      </c>
      <c r="BZ23" s="671">
        <f t="shared" si="45"/>
        <v>0</v>
      </c>
      <c r="CA23" s="671">
        <f t="shared" si="45"/>
        <v>2369339.4331363724</v>
      </c>
      <c r="CB23" s="674">
        <f t="shared" si="11"/>
        <v>8841460.1231125854</v>
      </c>
      <c r="CC23" s="237">
        <f t="shared" si="12"/>
        <v>34132101.38311258</v>
      </c>
      <c r="CD23" s="343">
        <v>5</v>
      </c>
      <c r="CE23" s="462">
        <f t="shared" si="14"/>
        <v>90735960.090004712</v>
      </c>
      <c r="CF23" s="462">
        <f t="shared" si="15"/>
        <v>95193608.830007449</v>
      </c>
      <c r="CG23" s="462">
        <f t="shared" si="16"/>
        <v>99887425.960017473</v>
      </c>
      <c r="CH23" s="462">
        <f t="shared" si="17"/>
        <v>105311519.01002094</v>
      </c>
      <c r="CI23" s="464">
        <f t="shared" si="18"/>
        <v>391128513.89005053</v>
      </c>
      <c r="CJ23" s="462">
        <f t="shared" si="19"/>
        <v>72991075.547804072</v>
      </c>
      <c r="CK23" s="462">
        <f t="shared" si="20"/>
        <v>62256572.072668657</v>
      </c>
      <c r="CL23" s="462">
        <f t="shared" si="21"/>
        <v>70625123.11307928</v>
      </c>
      <c r="CM23" s="462">
        <f t="shared" si="22"/>
        <v>71901969.294438288</v>
      </c>
      <c r="CN23" s="464">
        <f t="shared" si="23"/>
        <v>277774740.02799022</v>
      </c>
      <c r="CO23" s="462">
        <f t="shared" si="24"/>
        <v>163727035.63780874</v>
      </c>
      <c r="CP23" s="462">
        <f t="shared" si="25"/>
        <v>157450180.90267611</v>
      </c>
      <c r="CQ23" s="462">
        <f t="shared" si="26"/>
        <v>170512549.07309675</v>
      </c>
      <c r="CR23" s="462">
        <f t="shared" si="27"/>
        <v>177213488.30445924</v>
      </c>
      <c r="CS23" s="464">
        <f t="shared" si="13"/>
        <v>668903253.91804075</v>
      </c>
    </row>
    <row r="24" spans="1:99" ht="15.75" customHeight="1" x14ac:dyDescent="0.25">
      <c r="A24" s="148" t="s">
        <v>138</v>
      </c>
      <c r="B24" s="213"/>
      <c r="C24" s="112"/>
      <c r="D24" s="112"/>
      <c r="E24" s="112"/>
      <c r="F24" s="112"/>
      <c r="G24" s="112"/>
      <c r="H24" s="112"/>
      <c r="I24" s="112"/>
      <c r="J24" s="112"/>
      <c r="K24" s="423"/>
      <c r="L24" s="424"/>
      <c r="M24" s="112"/>
      <c r="N24" s="112"/>
      <c r="O24" s="112"/>
      <c r="P24" s="112"/>
      <c r="Q24" s="112"/>
      <c r="R24" s="112"/>
      <c r="S24" s="112"/>
      <c r="T24" s="112"/>
      <c r="U24" s="425"/>
      <c r="V24" s="213"/>
      <c r="W24" s="112"/>
      <c r="X24" s="112"/>
      <c r="Y24" s="112"/>
      <c r="Z24" s="112"/>
      <c r="AA24" s="112"/>
      <c r="AB24" s="112"/>
      <c r="AC24" s="112"/>
      <c r="AD24" s="112"/>
      <c r="AE24" s="423"/>
      <c r="AF24" s="424"/>
      <c r="AG24" s="112"/>
      <c r="AH24" s="112"/>
      <c r="AI24" s="112"/>
      <c r="AJ24" s="112"/>
      <c r="AK24" s="112"/>
      <c r="AL24" s="112"/>
      <c r="AM24" s="112"/>
      <c r="AN24" s="112"/>
      <c r="AO24" s="425"/>
      <c r="AP24" s="213"/>
      <c r="AQ24" s="112"/>
      <c r="AR24" s="112"/>
      <c r="AS24" s="112"/>
      <c r="AT24" s="112"/>
      <c r="AU24" s="112"/>
      <c r="AV24" s="112"/>
      <c r="AW24" s="112"/>
      <c r="AX24" s="112"/>
      <c r="AY24" s="423"/>
      <c r="AZ24" s="424"/>
      <c r="BA24" s="112"/>
      <c r="BB24" s="112"/>
      <c r="BC24" s="112"/>
      <c r="BD24" s="112"/>
      <c r="BE24" s="112"/>
      <c r="BF24" s="112"/>
      <c r="BG24" s="112"/>
      <c r="BH24" s="112"/>
      <c r="BI24" s="425"/>
      <c r="BJ24" s="213"/>
      <c r="BK24" s="112"/>
      <c r="BL24" s="112"/>
      <c r="BM24" s="112"/>
      <c r="BN24" s="112"/>
      <c r="BO24" s="112"/>
      <c r="BP24" s="112"/>
      <c r="BQ24" s="112"/>
      <c r="BR24" s="112"/>
      <c r="BS24" s="423"/>
      <c r="BT24" s="424"/>
      <c r="BU24" s="112"/>
      <c r="BV24" s="112"/>
      <c r="BW24" s="112"/>
      <c r="BX24" s="112"/>
      <c r="BY24" s="112"/>
      <c r="BZ24" s="112"/>
      <c r="CA24" s="112"/>
      <c r="CB24" s="112"/>
      <c r="CC24" s="425"/>
      <c r="CD24" s="213"/>
      <c r="CE24" s="198"/>
      <c r="CF24" s="198"/>
      <c r="CG24" s="198"/>
      <c r="CH24" s="198"/>
      <c r="CI24" s="467"/>
      <c r="CJ24" s="198"/>
      <c r="CK24" s="198"/>
      <c r="CL24" s="198"/>
      <c r="CM24" s="198"/>
      <c r="CN24" s="467"/>
      <c r="CO24" s="198"/>
      <c r="CP24" s="198"/>
      <c r="CQ24" s="198"/>
      <c r="CR24" s="198"/>
      <c r="CS24" s="467"/>
    </row>
    <row r="25" spans="1:99" ht="15.75" customHeight="1" x14ac:dyDescent="0.25">
      <c r="A25" s="94" t="s">
        <v>374</v>
      </c>
      <c r="B25" s="343">
        <v>6</v>
      </c>
      <c r="C25" s="671">
        <f>SUM('Schedule 3B_Income_Eastern:Schedule 3D_Income_The Cape'!C25)</f>
        <v>0</v>
      </c>
      <c r="D25" s="671">
        <f>SUM('Schedule 3B_Income_Eastern:Schedule 3D_Income_The Cape'!D25)</f>
        <v>0</v>
      </c>
      <c r="E25" s="671">
        <f>SUM('Schedule 3B_Income_Eastern:Schedule 3D_Income_The Cape'!E25)</f>
        <v>0</v>
      </c>
      <c r="F25" s="671">
        <f>SUM('Schedule 3B_Income_Eastern:Schedule 3D_Income_The Cape'!F25)</f>
        <v>0</v>
      </c>
      <c r="G25" s="671">
        <f>SUM('Schedule 3B_Income_Eastern:Schedule 3D_Income_The Cape'!G25)</f>
        <v>0</v>
      </c>
      <c r="H25" s="671">
        <f>SUM('Schedule 3B_Income_Eastern:Schedule 3D_Income_The Cape'!H25)</f>
        <v>0</v>
      </c>
      <c r="I25" s="671">
        <f>SUM('Schedule 3B_Income_Eastern:Schedule 3D_Income_The Cape'!I25)</f>
        <v>0</v>
      </c>
      <c r="J25" s="671">
        <f>SUM('Schedule 3B_Income_Eastern:Schedule 3D_Income_The Cape'!J25)</f>
        <v>0</v>
      </c>
      <c r="K25" s="672">
        <f t="shared" ref="K25:K30" si="46">SUM(C25:J25)</f>
        <v>0</v>
      </c>
      <c r="L25" s="673">
        <f>SUM('Schedule 3B_Income_Eastern:Schedule 3D_Income_The Cape'!L25)</f>
        <v>0</v>
      </c>
      <c r="M25" s="671">
        <f>SUM('Schedule 3B_Income_Eastern:Schedule 3D_Income_The Cape'!M25)</f>
        <v>0</v>
      </c>
      <c r="N25" s="671">
        <f>SUM('Schedule 3B_Income_Eastern:Schedule 3D_Income_The Cape'!N25)</f>
        <v>0</v>
      </c>
      <c r="O25" s="671">
        <f>SUM('Schedule 3B_Income_Eastern:Schedule 3D_Income_The Cape'!O25)</f>
        <v>0</v>
      </c>
      <c r="P25" s="671">
        <f>SUM('Schedule 3B_Income_Eastern:Schedule 3D_Income_The Cape'!P25)</f>
        <v>0</v>
      </c>
      <c r="Q25" s="671">
        <f>SUM('Schedule 3B_Income_Eastern:Schedule 3D_Income_The Cape'!Q25)</f>
        <v>0</v>
      </c>
      <c r="R25" s="671">
        <f>SUM('Schedule 3B_Income_Eastern:Schedule 3D_Income_The Cape'!R25)</f>
        <v>0</v>
      </c>
      <c r="S25" s="671">
        <f>SUM('Schedule 3B_Income_Eastern:Schedule 3D_Income_The Cape'!S25)</f>
        <v>0</v>
      </c>
      <c r="T25" s="674">
        <f t="shared" ref="T25:T30" si="47">SUM(L25:S25)</f>
        <v>0</v>
      </c>
      <c r="U25" s="675">
        <f t="shared" ref="U25:U30" si="48">SUM(K25,T25)</f>
        <v>0</v>
      </c>
      <c r="V25" s="343">
        <v>6</v>
      </c>
      <c r="W25" s="671">
        <f>SUM('Schedule 3B_Income_Eastern:Schedule 3D_Income_The Cape'!W25)</f>
        <v>0</v>
      </c>
      <c r="X25" s="671">
        <f>SUM('Schedule 3B_Income_Eastern:Schedule 3D_Income_The Cape'!X25)</f>
        <v>0</v>
      </c>
      <c r="Y25" s="671">
        <f>SUM('Schedule 3B_Income_Eastern:Schedule 3D_Income_The Cape'!Y25)</f>
        <v>0</v>
      </c>
      <c r="Z25" s="671">
        <f>SUM('Schedule 3B_Income_Eastern:Schedule 3D_Income_The Cape'!Z25)</f>
        <v>0</v>
      </c>
      <c r="AA25" s="671">
        <f>SUM('Schedule 3B_Income_Eastern:Schedule 3D_Income_The Cape'!AA25)</f>
        <v>0</v>
      </c>
      <c r="AB25" s="671">
        <f>SUM('Schedule 3B_Income_Eastern:Schedule 3D_Income_The Cape'!AB25)</f>
        <v>0</v>
      </c>
      <c r="AC25" s="671">
        <f>SUM('Schedule 3B_Income_Eastern:Schedule 3D_Income_The Cape'!AC25)</f>
        <v>0</v>
      </c>
      <c r="AD25" s="671">
        <f>SUM('Schedule 3B_Income_Eastern:Schedule 3D_Income_The Cape'!AD25)</f>
        <v>0</v>
      </c>
      <c r="AE25" s="672">
        <f t="shared" ref="AE25:AE30" si="49">SUM(W25:AD25)</f>
        <v>0</v>
      </c>
      <c r="AF25" s="673">
        <f>SUM('Schedule 3B_Income_Eastern:Schedule 3D_Income_The Cape'!AF25)</f>
        <v>0</v>
      </c>
      <c r="AG25" s="671">
        <f>SUM('Schedule 3B_Income_Eastern:Schedule 3D_Income_The Cape'!AG25)</f>
        <v>0</v>
      </c>
      <c r="AH25" s="671">
        <f>SUM('Schedule 3B_Income_Eastern:Schedule 3D_Income_The Cape'!AH25)</f>
        <v>0</v>
      </c>
      <c r="AI25" s="671">
        <f>SUM('Schedule 3B_Income_Eastern:Schedule 3D_Income_The Cape'!AI25)</f>
        <v>0</v>
      </c>
      <c r="AJ25" s="671">
        <f>SUM('Schedule 3B_Income_Eastern:Schedule 3D_Income_The Cape'!AJ25)</f>
        <v>0</v>
      </c>
      <c r="AK25" s="671">
        <f>SUM('Schedule 3B_Income_Eastern:Schedule 3D_Income_The Cape'!AK25)</f>
        <v>0</v>
      </c>
      <c r="AL25" s="671">
        <f>SUM('Schedule 3B_Income_Eastern:Schedule 3D_Income_The Cape'!AL25)</f>
        <v>0</v>
      </c>
      <c r="AM25" s="671">
        <f>SUM('Schedule 3B_Income_Eastern:Schedule 3D_Income_The Cape'!AM25)</f>
        <v>0</v>
      </c>
      <c r="AN25" s="674">
        <f t="shared" ref="AN25:AN30" si="50">SUM(AF25:AM25)</f>
        <v>0</v>
      </c>
      <c r="AO25" s="675">
        <f t="shared" ref="AO25:AO30" si="51">SUM(AE25,AN25)</f>
        <v>0</v>
      </c>
      <c r="AP25" s="343">
        <v>6</v>
      </c>
      <c r="AQ25" s="671">
        <f>SUM('Schedule 3B_Income_Eastern:Schedule 3D_Income_The Cape'!AQ25)</f>
        <v>0</v>
      </c>
      <c r="AR25" s="671">
        <f>SUM('Schedule 3B_Income_Eastern:Schedule 3D_Income_The Cape'!AR25)</f>
        <v>0</v>
      </c>
      <c r="AS25" s="671">
        <f>SUM('Schedule 3B_Income_Eastern:Schedule 3D_Income_The Cape'!AS25)</f>
        <v>0</v>
      </c>
      <c r="AT25" s="671">
        <f>SUM('Schedule 3B_Income_Eastern:Schedule 3D_Income_The Cape'!AT25)</f>
        <v>0</v>
      </c>
      <c r="AU25" s="671">
        <f>SUM('Schedule 3B_Income_Eastern:Schedule 3D_Income_The Cape'!AU25)</f>
        <v>0</v>
      </c>
      <c r="AV25" s="671">
        <f>SUM('Schedule 3B_Income_Eastern:Schedule 3D_Income_The Cape'!AV25)</f>
        <v>0</v>
      </c>
      <c r="AW25" s="671">
        <f>SUM('Schedule 3B_Income_Eastern:Schedule 3D_Income_The Cape'!AW25)</f>
        <v>0</v>
      </c>
      <c r="AX25" s="671">
        <f>SUM('Schedule 3B_Income_Eastern:Schedule 3D_Income_The Cape'!AX25)</f>
        <v>0</v>
      </c>
      <c r="AY25" s="672">
        <f t="shared" ref="AY25:AY30" si="52">SUM(AQ25:AX25)</f>
        <v>0</v>
      </c>
      <c r="AZ25" s="673">
        <f>SUM('Schedule 3B_Income_Eastern:Schedule 3D_Income_The Cape'!AZ25)</f>
        <v>0</v>
      </c>
      <c r="BA25" s="671">
        <f>SUM('Schedule 3B_Income_Eastern:Schedule 3D_Income_The Cape'!BA25)</f>
        <v>0</v>
      </c>
      <c r="BB25" s="671">
        <f>SUM('Schedule 3B_Income_Eastern:Schedule 3D_Income_The Cape'!BB25)</f>
        <v>0</v>
      </c>
      <c r="BC25" s="671">
        <f>SUM('Schedule 3B_Income_Eastern:Schedule 3D_Income_The Cape'!BC25)</f>
        <v>0</v>
      </c>
      <c r="BD25" s="671">
        <f>SUM('Schedule 3B_Income_Eastern:Schedule 3D_Income_The Cape'!BD25)</f>
        <v>0</v>
      </c>
      <c r="BE25" s="671">
        <f>SUM('Schedule 3B_Income_Eastern:Schedule 3D_Income_The Cape'!BE25)</f>
        <v>0</v>
      </c>
      <c r="BF25" s="671">
        <f>SUM('Schedule 3B_Income_Eastern:Schedule 3D_Income_The Cape'!BF25)</f>
        <v>0</v>
      </c>
      <c r="BG25" s="671">
        <f>SUM('Schedule 3B_Income_Eastern:Schedule 3D_Income_The Cape'!BG25)</f>
        <v>0</v>
      </c>
      <c r="BH25" s="674">
        <f t="shared" ref="BH25:BH30" si="53">SUM(AZ25:BG25)</f>
        <v>0</v>
      </c>
      <c r="BI25" s="675">
        <f t="shared" ref="BI25:BI30" si="54">SUM(AY25,BH25)</f>
        <v>0</v>
      </c>
      <c r="BJ25" s="343">
        <v>6</v>
      </c>
      <c r="BK25" s="671">
        <f>SUM('Schedule 3B_Income_Eastern:Schedule 3D_Income_The Cape'!BK25)</f>
        <v>39047.096670724146</v>
      </c>
      <c r="BL25" s="671">
        <f>SUM('Schedule 3B_Income_Eastern:Schedule 3D_Income_The Cape'!BL25)</f>
        <v>439297.9133294358</v>
      </c>
      <c r="BM25" s="671">
        <f>SUM('Schedule 3B_Income_Eastern:Schedule 3D_Income_The Cape'!BM25)</f>
        <v>40330.591738937932</v>
      </c>
      <c r="BN25" s="671">
        <f>SUM('Schedule 3B_Income_Eastern:Schedule 3D_Income_The Cape'!BN25)</f>
        <v>432379.40826106205</v>
      </c>
      <c r="BO25" s="671">
        <f>SUM('Schedule 3B_Income_Eastern:Schedule 3D_Income_The Cape'!BO25)</f>
        <v>39354.187244798115</v>
      </c>
      <c r="BP25" s="671">
        <f>SUM('Schedule 3B_Income_Eastern:Schedule 3D_Income_The Cape'!BP25)</f>
        <v>433355.81275520194</v>
      </c>
      <c r="BQ25" s="671">
        <f>SUM('Schedule 3B_Income_Eastern:Schedule 3D_Income_The Cape'!BQ25)</f>
        <v>188776.44561570021</v>
      </c>
      <c r="BR25" s="671">
        <f>SUM('Schedule 3B_Income_Eastern:Schedule 3D_Income_The Cape'!BR25)</f>
        <v>1798882.7143844604</v>
      </c>
      <c r="BS25" s="672">
        <f t="shared" ref="BS25:BS30" si="55">SUM(BK25:BR25)</f>
        <v>3411424.1700003203</v>
      </c>
      <c r="BT25" s="673">
        <f>SUM('Schedule 3B_Income_Eastern:Schedule 3D_Income_The Cape'!BT25)</f>
        <v>0</v>
      </c>
      <c r="BU25" s="671">
        <f>SUM('Schedule 3B_Income_Eastern:Schedule 3D_Income_The Cape'!BU25)</f>
        <v>0</v>
      </c>
      <c r="BV25" s="671">
        <f>SUM('Schedule 3B_Income_Eastern:Schedule 3D_Income_The Cape'!BV25)</f>
        <v>0</v>
      </c>
      <c r="BW25" s="671">
        <f>SUM('Schedule 3B_Income_Eastern:Schedule 3D_Income_The Cape'!BW25)</f>
        <v>0</v>
      </c>
      <c r="BX25" s="671">
        <f>SUM('Schedule 3B_Income_Eastern:Schedule 3D_Income_The Cape'!BX25)</f>
        <v>0</v>
      </c>
      <c r="BY25" s="671">
        <f>SUM('Schedule 3B_Income_Eastern:Schedule 3D_Income_The Cape'!BY25)</f>
        <v>0</v>
      </c>
      <c r="BZ25" s="671">
        <f>SUM('Schedule 3B_Income_Eastern:Schedule 3D_Income_The Cape'!BZ25)</f>
        <v>0</v>
      </c>
      <c r="CA25" s="671">
        <f>SUM('Schedule 3B_Income_Eastern:Schedule 3D_Income_The Cape'!CA25)</f>
        <v>0</v>
      </c>
      <c r="CB25" s="674">
        <f t="shared" ref="CB25:CB30" si="56">SUM(BT25:CA25)</f>
        <v>0</v>
      </c>
      <c r="CC25" s="675">
        <f t="shared" ref="CC25:CC30" si="57">SUM(BS25,CB25)</f>
        <v>3411424.1700003203</v>
      </c>
      <c r="CD25" s="343">
        <v>6</v>
      </c>
      <c r="CE25" s="462">
        <f t="shared" ref="CE25:CE30" si="58">+C25+D25+W25+X25+AQ25+AR25+BK25+BL25</f>
        <v>478345.01000015996</v>
      </c>
      <c r="CF25" s="462">
        <f t="shared" ref="CF25:CF30" si="59">+E25+F25+Y25+Z25+AS25+AT25+BM25+BN25</f>
        <v>472710</v>
      </c>
      <c r="CG25" s="462">
        <f t="shared" ref="CG25:CG30" si="60">+G25+H25+AA25+AB25+AU25+AV25+BO25+BP25</f>
        <v>472710.00000000006</v>
      </c>
      <c r="CH25" s="462">
        <f t="shared" ref="CH25:CH30" si="61">+I25+J25+AC25+AD25+AW25+AX25+BQ25+BR25</f>
        <v>1987659.1600001606</v>
      </c>
      <c r="CI25" s="464">
        <f t="shared" ref="CI25:CI30" si="62">SUM(K25,AE25,AY25,BS25)</f>
        <v>3411424.1700003203</v>
      </c>
      <c r="CJ25" s="462">
        <f t="shared" ref="CJ25:CJ30" si="63">L25+M25+AF25+AG25+AZ25+BA25+BT25+BU25</f>
        <v>0</v>
      </c>
      <c r="CK25" s="462">
        <f t="shared" ref="CK25:CK30" si="64">N25+O25+AH25+AI25+BB25+BC25+BV25+BW25</f>
        <v>0</v>
      </c>
      <c r="CL25" s="462">
        <f t="shared" ref="CL25:CL30" si="65">P25+Q25+AJ25+AK25+BD25+BE25+BX25+BY25</f>
        <v>0</v>
      </c>
      <c r="CM25" s="462">
        <f t="shared" ref="CM25:CM30" si="66">+R25+S25+AL25+AM25+BF25+BG25+BZ25+CA25</f>
        <v>0</v>
      </c>
      <c r="CN25" s="464">
        <f t="shared" ref="CN25:CN30" si="67">SUM(T25,AN25,BH25,CB25)</f>
        <v>0</v>
      </c>
      <c r="CO25" s="462">
        <f t="shared" ref="CO25:CO30" si="68">+C25+D25+L25+M25+W25+X25+AF25+AG25+AQ25+AR25+AZ25+BA25+BK25+BL25+BT25+BU25</f>
        <v>478345.01000015996</v>
      </c>
      <c r="CP25" s="462">
        <f t="shared" ref="CP25:CP30" si="69">+E25+F25+N25+O25+Y25+Z25+AH25+AI25+AS25+AT25+BB25+BC25+BM25+BN25+BV25+BW25</f>
        <v>472710</v>
      </c>
      <c r="CQ25" s="462">
        <f t="shared" ref="CQ25:CQ30" si="70">+G25+H25+P25+Q25+AA25+AB25+AJ25+AK25+AU25+AV25+BD25+BE25+BO25+BP25+BX25+BY25</f>
        <v>472710.00000000006</v>
      </c>
      <c r="CR25" s="462">
        <f t="shared" ref="CR25:CR30" si="71">+I25+J25+R25+S25+AC25+AD25+AL25+AM25+AW25+AX25+BF25+BG25+BQ25+BR25+BZ25+CA25</f>
        <v>1987659.1600001606</v>
      </c>
      <c r="CS25" s="464">
        <f t="shared" ref="CS25:CS30" si="72">SUM(CC25,BI25,AO25,U25)</f>
        <v>3411424.1700003203</v>
      </c>
    </row>
    <row r="26" spans="1:99" ht="15.75" customHeight="1" x14ac:dyDescent="0.25">
      <c r="A26" s="94" t="s">
        <v>139</v>
      </c>
      <c r="B26" s="343">
        <v>7</v>
      </c>
      <c r="C26" s="671">
        <f>SUM('Schedule 3B_Income_Eastern:Schedule 3D_Income_The Cape'!C26)</f>
        <v>0</v>
      </c>
      <c r="D26" s="671">
        <f>SUM('Schedule 3B_Income_Eastern:Schedule 3D_Income_The Cape'!D26)</f>
        <v>0</v>
      </c>
      <c r="E26" s="671">
        <f>SUM('Schedule 3B_Income_Eastern:Schedule 3D_Income_The Cape'!E26)</f>
        <v>0</v>
      </c>
      <c r="F26" s="671">
        <f>SUM('Schedule 3B_Income_Eastern:Schedule 3D_Income_The Cape'!F26)</f>
        <v>0</v>
      </c>
      <c r="G26" s="671">
        <f>SUM('Schedule 3B_Income_Eastern:Schedule 3D_Income_The Cape'!G26)</f>
        <v>0</v>
      </c>
      <c r="H26" s="671">
        <f>SUM('Schedule 3B_Income_Eastern:Schedule 3D_Income_The Cape'!H26)</f>
        <v>0</v>
      </c>
      <c r="I26" s="671">
        <f>SUM('Schedule 3B_Income_Eastern:Schedule 3D_Income_The Cape'!I26)</f>
        <v>0</v>
      </c>
      <c r="J26" s="671">
        <f>SUM('Schedule 3B_Income_Eastern:Schedule 3D_Income_The Cape'!J26)</f>
        <v>0</v>
      </c>
      <c r="K26" s="672">
        <f t="shared" si="46"/>
        <v>0</v>
      </c>
      <c r="L26" s="673">
        <f>SUM('Schedule 3B_Income_Eastern:Schedule 3D_Income_The Cape'!L26)</f>
        <v>0</v>
      </c>
      <c r="M26" s="671">
        <f>SUM('Schedule 3B_Income_Eastern:Schedule 3D_Income_The Cape'!M26)</f>
        <v>0</v>
      </c>
      <c r="N26" s="671">
        <f>SUM('Schedule 3B_Income_Eastern:Schedule 3D_Income_The Cape'!N26)</f>
        <v>0</v>
      </c>
      <c r="O26" s="671">
        <f>SUM('Schedule 3B_Income_Eastern:Schedule 3D_Income_The Cape'!O26)</f>
        <v>0</v>
      </c>
      <c r="P26" s="671">
        <f>SUM('Schedule 3B_Income_Eastern:Schedule 3D_Income_The Cape'!P26)</f>
        <v>0</v>
      </c>
      <c r="Q26" s="671">
        <f>SUM('Schedule 3B_Income_Eastern:Schedule 3D_Income_The Cape'!Q26)</f>
        <v>0</v>
      </c>
      <c r="R26" s="671">
        <f>SUM('Schedule 3B_Income_Eastern:Schedule 3D_Income_The Cape'!R26)</f>
        <v>0</v>
      </c>
      <c r="S26" s="671">
        <f>SUM('Schedule 3B_Income_Eastern:Schedule 3D_Income_The Cape'!S26)</f>
        <v>0</v>
      </c>
      <c r="T26" s="674">
        <f t="shared" si="47"/>
        <v>0</v>
      </c>
      <c r="U26" s="675">
        <f t="shared" si="48"/>
        <v>0</v>
      </c>
      <c r="V26" s="343">
        <v>7</v>
      </c>
      <c r="W26" s="671">
        <f>SUM('Schedule 3B_Income_Eastern:Schedule 3D_Income_The Cape'!W26)</f>
        <v>0</v>
      </c>
      <c r="X26" s="671">
        <f>SUM('Schedule 3B_Income_Eastern:Schedule 3D_Income_The Cape'!X26)</f>
        <v>0</v>
      </c>
      <c r="Y26" s="671">
        <f>SUM('Schedule 3B_Income_Eastern:Schedule 3D_Income_The Cape'!Y26)</f>
        <v>0</v>
      </c>
      <c r="Z26" s="671">
        <f>SUM('Schedule 3B_Income_Eastern:Schedule 3D_Income_The Cape'!Z26)</f>
        <v>0</v>
      </c>
      <c r="AA26" s="671">
        <f>SUM('Schedule 3B_Income_Eastern:Schedule 3D_Income_The Cape'!AA26)</f>
        <v>0</v>
      </c>
      <c r="AB26" s="671">
        <f>SUM('Schedule 3B_Income_Eastern:Schedule 3D_Income_The Cape'!AB26)</f>
        <v>0</v>
      </c>
      <c r="AC26" s="671">
        <f>SUM('Schedule 3B_Income_Eastern:Schedule 3D_Income_The Cape'!AC26)</f>
        <v>0</v>
      </c>
      <c r="AD26" s="671">
        <f>SUM('Schedule 3B_Income_Eastern:Schedule 3D_Income_The Cape'!AD26)</f>
        <v>0</v>
      </c>
      <c r="AE26" s="672">
        <f t="shared" si="49"/>
        <v>0</v>
      </c>
      <c r="AF26" s="673">
        <f>SUM('Schedule 3B_Income_Eastern:Schedule 3D_Income_The Cape'!AF26)</f>
        <v>0</v>
      </c>
      <c r="AG26" s="671">
        <f>SUM('Schedule 3B_Income_Eastern:Schedule 3D_Income_The Cape'!AG26)</f>
        <v>0</v>
      </c>
      <c r="AH26" s="671">
        <f>SUM('Schedule 3B_Income_Eastern:Schedule 3D_Income_The Cape'!AH26)</f>
        <v>0</v>
      </c>
      <c r="AI26" s="671">
        <f>SUM('Schedule 3B_Income_Eastern:Schedule 3D_Income_The Cape'!AI26)</f>
        <v>0</v>
      </c>
      <c r="AJ26" s="671">
        <f>SUM('Schedule 3B_Income_Eastern:Schedule 3D_Income_The Cape'!AJ26)</f>
        <v>0</v>
      </c>
      <c r="AK26" s="671">
        <f>SUM('Schedule 3B_Income_Eastern:Schedule 3D_Income_The Cape'!AK26)</f>
        <v>0</v>
      </c>
      <c r="AL26" s="671">
        <f>SUM('Schedule 3B_Income_Eastern:Schedule 3D_Income_The Cape'!AL26)</f>
        <v>0</v>
      </c>
      <c r="AM26" s="671">
        <f>SUM('Schedule 3B_Income_Eastern:Schedule 3D_Income_The Cape'!AM26)</f>
        <v>0</v>
      </c>
      <c r="AN26" s="674">
        <f t="shared" si="50"/>
        <v>0</v>
      </c>
      <c r="AO26" s="675">
        <f t="shared" si="51"/>
        <v>0</v>
      </c>
      <c r="AP26" s="343">
        <v>7</v>
      </c>
      <c r="AQ26" s="671">
        <f>SUM('Schedule 3B_Income_Eastern:Schedule 3D_Income_The Cape'!AQ26)</f>
        <v>0</v>
      </c>
      <c r="AR26" s="671">
        <f>SUM('Schedule 3B_Income_Eastern:Schedule 3D_Income_The Cape'!AR26)</f>
        <v>0</v>
      </c>
      <c r="AS26" s="671">
        <f>SUM('Schedule 3B_Income_Eastern:Schedule 3D_Income_The Cape'!AS26)</f>
        <v>0</v>
      </c>
      <c r="AT26" s="671">
        <f>SUM('Schedule 3B_Income_Eastern:Schedule 3D_Income_The Cape'!AT26)</f>
        <v>0</v>
      </c>
      <c r="AU26" s="671">
        <f>SUM('Schedule 3B_Income_Eastern:Schedule 3D_Income_The Cape'!AU26)</f>
        <v>0</v>
      </c>
      <c r="AV26" s="671">
        <f>SUM('Schedule 3B_Income_Eastern:Schedule 3D_Income_The Cape'!AV26)</f>
        <v>0</v>
      </c>
      <c r="AW26" s="671">
        <f>SUM('Schedule 3B_Income_Eastern:Schedule 3D_Income_The Cape'!AW26)</f>
        <v>0</v>
      </c>
      <c r="AX26" s="671">
        <f>SUM('Schedule 3B_Income_Eastern:Schedule 3D_Income_The Cape'!AX26)</f>
        <v>0</v>
      </c>
      <c r="AY26" s="672">
        <f t="shared" si="52"/>
        <v>0</v>
      </c>
      <c r="AZ26" s="673">
        <f>SUM('Schedule 3B_Income_Eastern:Schedule 3D_Income_The Cape'!AZ26)</f>
        <v>0</v>
      </c>
      <c r="BA26" s="671">
        <f>SUM('Schedule 3B_Income_Eastern:Schedule 3D_Income_The Cape'!BA26)</f>
        <v>0</v>
      </c>
      <c r="BB26" s="671">
        <f>SUM('Schedule 3B_Income_Eastern:Schedule 3D_Income_The Cape'!BB26)</f>
        <v>0</v>
      </c>
      <c r="BC26" s="671">
        <f>SUM('Schedule 3B_Income_Eastern:Schedule 3D_Income_The Cape'!BC26)</f>
        <v>0</v>
      </c>
      <c r="BD26" s="671">
        <f>SUM('Schedule 3B_Income_Eastern:Schedule 3D_Income_The Cape'!BD26)</f>
        <v>0</v>
      </c>
      <c r="BE26" s="671">
        <f>SUM('Schedule 3B_Income_Eastern:Schedule 3D_Income_The Cape'!BE26)</f>
        <v>0</v>
      </c>
      <c r="BF26" s="671">
        <f>SUM('Schedule 3B_Income_Eastern:Schedule 3D_Income_The Cape'!BF26)</f>
        <v>0</v>
      </c>
      <c r="BG26" s="671">
        <f>SUM('Schedule 3B_Income_Eastern:Schedule 3D_Income_The Cape'!BG26)</f>
        <v>0</v>
      </c>
      <c r="BH26" s="674">
        <f t="shared" si="53"/>
        <v>0</v>
      </c>
      <c r="BI26" s="675">
        <f t="shared" si="54"/>
        <v>0</v>
      </c>
      <c r="BJ26" s="343">
        <v>7</v>
      </c>
      <c r="BK26" s="671">
        <f>SUM('Schedule 3B_Income_Eastern:Schedule 3D_Income_The Cape'!BK26)</f>
        <v>0</v>
      </c>
      <c r="BL26" s="671">
        <f>SUM('Schedule 3B_Income_Eastern:Schedule 3D_Income_The Cape'!BL26)</f>
        <v>0</v>
      </c>
      <c r="BM26" s="671">
        <f>SUM('Schedule 3B_Income_Eastern:Schedule 3D_Income_The Cape'!BM26)</f>
        <v>0</v>
      </c>
      <c r="BN26" s="671">
        <f>SUM('Schedule 3B_Income_Eastern:Schedule 3D_Income_The Cape'!BN26)</f>
        <v>0</v>
      </c>
      <c r="BO26" s="671">
        <f>SUM('Schedule 3B_Income_Eastern:Schedule 3D_Income_The Cape'!BO26)</f>
        <v>0</v>
      </c>
      <c r="BP26" s="671">
        <f>SUM('Schedule 3B_Income_Eastern:Schedule 3D_Income_The Cape'!BP26)</f>
        <v>0</v>
      </c>
      <c r="BQ26" s="671">
        <f>SUM('Schedule 3B_Income_Eastern:Schedule 3D_Income_The Cape'!BQ26)</f>
        <v>0</v>
      </c>
      <c r="BR26" s="671">
        <f>SUM('Schedule 3B_Income_Eastern:Schedule 3D_Income_The Cape'!BR26)</f>
        <v>0</v>
      </c>
      <c r="BS26" s="672">
        <f t="shared" si="55"/>
        <v>0</v>
      </c>
      <c r="BT26" s="673">
        <f>SUM('Schedule 3B_Income_Eastern:Schedule 3D_Income_The Cape'!BT26)</f>
        <v>0</v>
      </c>
      <c r="BU26" s="671">
        <f>SUM('Schedule 3B_Income_Eastern:Schedule 3D_Income_The Cape'!BU26)</f>
        <v>0</v>
      </c>
      <c r="BV26" s="671">
        <f>SUM('Schedule 3B_Income_Eastern:Schedule 3D_Income_The Cape'!BV26)</f>
        <v>0</v>
      </c>
      <c r="BW26" s="671">
        <f>SUM('Schedule 3B_Income_Eastern:Schedule 3D_Income_The Cape'!BW26)</f>
        <v>0</v>
      </c>
      <c r="BX26" s="671">
        <f>SUM('Schedule 3B_Income_Eastern:Schedule 3D_Income_The Cape'!BX26)</f>
        <v>0</v>
      </c>
      <c r="BY26" s="671">
        <f>SUM('Schedule 3B_Income_Eastern:Schedule 3D_Income_The Cape'!BY26)</f>
        <v>0</v>
      </c>
      <c r="BZ26" s="671">
        <f>SUM('Schedule 3B_Income_Eastern:Schedule 3D_Income_The Cape'!BZ26)</f>
        <v>0</v>
      </c>
      <c r="CA26" s="671">
        <f>SUM('Schedule 3B_Income_Eastern:Schedule 3D_Income_The Cape'!CA26)</f>
        <v>0</v>
      </c>
      <c r="CB26" s="674">
        <f t="shared" si="56"/>
        <v>0</v>
      </c>
      <c r="CC26" s="675">
        <f t="shared" si="57"/>
        <v>0</v>
      </c>
      <c r="CD26" s="343">
        <v>7</v>
      </c>
      <c r="CE26" s="462">
        <f t="shared" si="58"/>
        <v>0</v>
      </c>
      <c r="CF26" s="462">
        <f t="shared" si="59"/>
        <v>0</v>
      </c>
      <c r="CG26" s="462">
        <f t="shared" si="60"/>
        <v>0</v>
      </c>
      <c r="CH26" s="462">
        <f t="shared" si="61"/>
        <v>0</v>
      </c>
      <c r="CI26" s="464">
        <f t="shared" si="62"/>
        <v>0</v>
      </c>
      <c r="CJ26" s="462">
        <f t="shared" si="63"/>
        <v>0</v>
      </c>
      <c r="CK26" s="462">
        <f t="shared" si="64"/>
        <v>0</v>
      </c>
      <c r="CL26" s="462">
        <f t="shared" si="65"/>
        <v>0</v>
      </c>
      <c r="CM26" s="462">
        <f t="shared" si="66"/>
        <v>0</v>
      </c>
      <c r="CN26" s="464">
        <f t="shared" si="67"/>
        <v>0</v>
      </c>
      <c r="CO26" s="462">
        <f t="shared" si="68"/>
        <v>0</v>
      </c>
      <c r="CP26" s="462">
        <f t="shared" si="69"/>
        <v>0</v>
      </c>
      <c r="CQ26" s="462">
        <f t="shared" si="70"/>
        <v>0</v>
      </c>
      <c r="CR26" s="462">
        <f t="shared" si="71"/>
        <v>0</v>
      </c>
      <c r="CS26" s="464">
        <f t="shared" si="72"/>
        <v>0</v>
      </c>
    </row>
    <row r="27" spans="1:99" ht="15.75" customHeight="1" x14ac:dyDescent="0.25">
      <c r="A27" s="94" t="s">
        <v>137</v>
      </c>
      <c r="B27" s="343">
        <v>8</v>
      </c>
      <c r="C27" s="671">
        <f>SUM('Schedule 3B_Income_Eastern:Schedule 3D_Income_The Cape'!C27)</f>
        <v>0</v>
      </c>
      <c r="D27" s="671">
        <f>SUM('Schedule 3B_Income_Eastern:Schedule 3D_Income_The Cape'!D27)</f>
        <v>0</v>
      </c>
      <c r="E27" s="671">
        <f>SUM('Schedule 3B_Income_Eastern:Schedule 3D_Income_The Cape'!E27)</f>
        <v>0</v>
      </c>
      <c r="F27" s="671">
        <f>SUM('Schedule 3B_Income_Eastern:Schedule 3D_Income_The Cape'!F27)</f>
        <v>0</v>
      </c>
      <c r="G27" s="671">
        <f>SUM('Schedule 3B_Income_Eastern:Schedule 3D_Income_The Cape'!G27)</f>
        <v>0</v>
      </c>
      <c r="H27" s="671">
        <f>SUM('Schedule 3B_Income_Eastern:Schedule 3D_Income_The Cape'!H27)</f>
        <v>0</v>
      </c>
      <c r="I27" s="671">
        <f>SUM('Schedule 3B_Income_Eastern:Schedule 3D_Income_The Cape'!I27)</f>
        <v>0</v>
      </c>
      <c r="J27" s="671">
        <f>SUM('Schedule 3B_Income_Eastern:Schedule 3D_Income_The Cape'!J27)</f>
        <v>0</v>
      </c>
      <c r="K27" s="672">
        <f t="shared" si="46"/>
        <v>0</v>
      </c>
      <c r="L27" s="673">
        <f>SUM('Schedule 3B_Income_Eastern:Schedule 3D_Income_The Cape'!L27)</f>
        <v>0</v>
      </c>
      <c r="M27" s="671">
        <f>SUM('Schedule 3B_Income_Eastern:Schedule 3D_Income_The Cape'!M27)</f>
        <v>0</v>
      </c>
      <c r="N27" s="671">
        <f>SUM('Schedule 3B_Income_Eastern:Schedule 3D_Income_The Cape'!N27)</f>
        <v>0</v>
      </c>
      <c r="O27" s="671">
        <f>SUM('Schedule 3B_Income_Eastern:Schedule 3D_Income_The Cape'!O27)</f>
        <v>0</v>
      </c>
      <c r="P27" s="671">
        <f>SUM('Schedule 3B_Income_Eastern:Schedule 3D_Income_The Cape'!P27)</f>
        <v>0</v>
      </c>
      <c r="Q27" s="671">
        <f>SUM('Schedule 3B_Income_Eastern:Schedule 3D_Income_The Cape'!Q27)</f>
        <v>0</v>
      </c>
      <c r="R27" s="671">
        <f>SUM('Schedule 3B_Income_Eastern:Schedule 3D_Income_The Cape'!R27)</f>
        <v>0</v>
      </c>
      <c r="S27" s="671">
        <f>SUM('Schedule 3B_Income_Eastern:Schedule 3D_Income_The Cape'!S27)</f>
        <v>0</v>
      </c>
      <c r="T27" s="674">
        <f t="shared" si="47"/>
        <v>0</v>
      </c>
      <c r="U27" s="675">
        <f t="shared" si="48"/>
        <v>0</v>
      </c>
      <c r="V27" s="343">
        <v>8</v>
      </c>
      <c r="W27" s="671">
        <f>SUM('Schedule 3B_Income_Eastern:Schedule 3D_Income_The Cape'!W27)</f>
        <v>0</v>
      </c>
      <c r="X27" s="671">
        <f>SUM('Schedule 3B_Income_Eastern:Schedule 3D_Income_The Cape'!X27)</f>
        <v>0</v>
      </c>
      <c r="Y27" s="671">
        <f>SUM('Schedule 3B_Income_Eastern:Schedule 3D_Income_The Cape'!Y27)</f>
        <v>0</v>
      </c>
      <c r="Z27" s="671">
        <f>SUM('Schedule 3B_Income_Eastern:Schedule 3D_Income_The Cape'!Z27)</f>
        <v>0</v>
      </c>
      <c r="AA27" s="671">
        <f>SUM('Schedule 3B_Income_Eastern:Schedule 3D_Income_The Cape'!AA27)</f>
        <v>0</v>
      </c>
      <c r="AB27" s="671">
        <f>SUM('Schedule 3B_Income_Eastern:Schedule 3D_Income_The Cape'!AB27)</f>
        <v>0</v>
      </c>
      <c r="AC27" s="671">
        <f>SUM('Schedule 3B_Income_Eastern:Schedule 3D_Income_The Cape'!AC27)</f>
        <v>0</v>
      </c>
      <c r="AD27" s="671">
        <f>SUM('Schedule 3B_Income_Eastern:Schedule 3D_Income_The Cape'!AD27)</f>
        <v>0</v>
      </c>
      <c r="AE27" s="672">
        <f t="shared" si="49"/>
        <v>0</v>
      </c>
      <c r="AF27" s="673">
        <f>SUM('Schedule 3B_Income_Eastern:Schedule 3D_Income_The Cape'!AF27)</f>
        <v>0</v>
      </c>
      <c r="AG27" s="671">
        <f>SUM('Schedule 3B_Income_Eastern:Schedule 3D_Income_The Cape'!AG27)</f>
        <v>0</v>
      </c>
      <c r="AH27" s="671">
        <f>SUM('Schedule 3B_Income_Eastern:Schedule 3D_Income_The Cape'!AH27)</f>
        <v>0</v>
      </c>
      <c r="AI27" s="671">
        <f>SUM('Schedule 3B_Income_Eastern:Schedule 3D_Income_The Cape'!AI27)</f>
        <v>0</v>
      </c>
      <c r="AJ27" s="671">
        <f>SUM('Schedule 3B_Income_Eastern:Schedule 3D_Income_The Cape'!AJ27)</f>
        <v>0</v>
      </c>
      <c r="AK27" s="671">
        <f>SUM('Schedule 3B_Income_Eastern:Schedule 3D_Income_The Cape'!AK27)</f>
        <v>0</v>
      </c>
      <c r="AL27" s="671">
        <f>SUM('Schedule 3B_Income_Eastern:Schedule 3D_Income_The Cape'!AL27)</f>
        <v>0</v>
      </c>
      <c r="AM27" s="671">
        <f>SUM('Schedule 3B_Income_Eastern:Schedule 3D_Income_The Cape'!AM27)</f>
        <v>0</v>
      </c>
      <c r="AN27" s="674">
        <f t="shared" si="50"/>
        <v>0</v>
      </c>
      <c r="AO27" s="675">
        <f t="shared" si="51"/>
        <v>0</v>
      </c>
      <c r="AP27" s="343">
        <v>8</v>
      </c>
      <c r="AQ27" s="671">
        <f>SUM('Schedule 3B_Income_Eastern:Schedule 3D_Income_The Cape'!AQ27)</f>
        <v>0</v>
      </c>
      <c r="AR27" s="671">
        <f>SUM('Schedule 3B_Income_Eastern:Schedule 3D_Income_The Cape'!AR27)</f>
        <v>0</v>
      </c>
      <c r="AS27" s="671">
        <f>SUM('Schedule 3B_Income_Eastern:Schedule 3D_Income_The Cape'!AS27)</f>
        <v>0</v>
      </c>
      <c r="AT27" s="671">
        <f>SUM('Schedule 3B_Income_Eastern:Schedule 3D_Income_The Cape'!AT27)</f>
        <v>0</v>
      </c>
      <c r="AU27" s="671">
        <f>SUM('Schedule 3B_Income_Eastern:Schedule 3D_Income_The Cape'!AU27)</f>
        <v>0</v>
      </c>
      <c r="AV27" s="671">
        <f>SUM('Schedule 3B_Income_Eastern:Schedule 3D_Income_The Cape'!AV27)</f>
        <v>0</v>
      </c>
      <c r="AW27" s="671">
        <f>SUM('Schedule 3B_Income_Eastern:Schedule 3D_Income_The Cape'!AW27)</f>
        <v>0</v>
      </c>
      <c r="AX27" s="671">
        <f>SUM('Schedule 3B_Income_Eastern:Schedule 3D_Income_The Cape'!AX27)</f>
        <v>0</v>
      </c>
      <c r="AY27" s="672">
        <f t="shared" si="52"/>
        <v>0</v>
      </c>
      <c r="AZ27" s="673">
        <f>SUM('Schedule 3B_Income_Eastern:Schedule 3D_Income_The Cape'!AZ27)</f>
        <v>0</v>
      </c>
      <c r="BA27" s="671">
        <f>SUM('Schedule 3B_Income_Eastern:Schedule 3D_Income_The Cape'!BA27)</f>
        <v>0</v>
      </c>
      <c r="BB27" s="671">
        <f>SUM('Schedule 3B_Income_Eastern:Schedule 3D_Income_The Cape'!BB27)</f>
        <v>0</v>
      </c>
      <c r="BC27" s="671">
        <f>SUM('Schedule 3B_Income_Eastern:Schedule 3D_Income_The Cape'!BC27)</f>
        <v>0</v>
      </c>
      <c r="BD27" s="671">
        <f>SUM('Schedule 3B_Income_Eastern:Schedule 3D_Income_The Cape'!BD27)</f>
        <v>0</v>
      </c>
      <c r="BE27" s="671">
        <f>SUM('Schedule 3B_Income_Eastern:Schedule 3D_Income_The Cape'!BE27)</f>
        <v>0</v>
      </c>
      <c r="BF27" s="671">
        <f>SUM('Schedule 3B_Income_Eastern:Schedule 3D_Income_The Cape'!BF27)</f>
        <v>0</v>
      </c>
      <c r="BG27" s="671">
        <f>SUM('Schedule 3B_Income_Eastern:Schedule 3D_Income_The Cape'!BG27)</f>
        <v>0</v>
      </c>
      <c r="BH27" s="674">
        <f t="shared" si="53"/>
        <v>0</v>
      </c>
      <c r="BI27" s="675">
        <f t="shared" si="54"/>
        <v>0</v>
      </c>
      <c r="BJ27" s="343">
        <v>8</v>
      </c>
      <c r="BK27" s="671">
        <f>SUM('Schedule 3B_Income_Eastern:Schedule 3D_Income_The Cape'!BK27)</f>
        <v>0</v>
      </c>
      <c r="BL27" s="671">
        <f>SUM('Schedule 3B_Income_Eastern:Schedule 3D_Income_The Cape'!BL27)</f>
        <v>0</v>
      </c>
      <c r="BM27" s="671">
        <f>SUM('Schedule 3B_Income_Eastern:Schedule 3D_Income_The Cape'!BM27)</f>
        <v>0</v>
      </c>
      <c r="BN27" s="671">
        <f>SUM('Schedule 3B_Income_Eastern:Schedule 3D_Income_The Cape'!BN27)</f>
        <v>0</v>
      </c>
      <c r="BO27" s="671">
        <f>SUM('Schedule 3B_Income_Eastern:Schedule 3D_Income_The Cape'!BO27)</f>
        <v>0</v>
      </c>
      <c r="BP27" s="671">
        <f>SUM('Schedule 3B_Income_Eastern:Schedule 3D_Income_The Cape'!BP27)</f>
        <v>0</v>
      </c>
      <c r="BQ27" s="671">
        <f>SUM('Schedule 3B_Income_Eastern:Schedule 3D_Income_The Cape'!BQ27)</f>
        <v>0</v>
      </c>
      <c r="BR27" s="671">
        <f>SUM('Schedule 3B_Income_Eastern:Schedule 3D_Income_The Cape'!BR27)</f>
        <v>0</v>
      </c>
      <c r="BS27" s="672">
        <f t="shared" si="55"/>
        <v>0</v>
      </c>
      <c r="BT27" s="673">
        <f>SUM('Schedule 3B_Income_Eastern:Schedule 3D_Income_The Cape'!BT27)</f>
        <v>0</v>
      </c>
      <c r="BU27" s="671">
        <f>SUM('Schedule 3B_Income_Eastern:Schedule 3D_Income_The Cape'!BU27)</f>
        <v>0</v>
      </c>
      <c r="BV27" s="671">
        <f>SUM('Schedule 3B_Income_Eastern:Schedule 3D_Income_The Cape'!BV27)</f>
        <v>0</v>
      </c>
      <c r="BW27" s="671">
        <f>SUM('Schedule 3B_Income_Eastern:Schedule 3D_Income_The Cape'!BW27)</f>
        <v>0</v>
      </c>
      <c r="BX27" s="671">
        <f>SUM('Schedule 3B_Income_Eastern:Schedule 3D_Income_The Cape'!BX27)</f>
        <v>0</v>
      </c>
      <c r="BY27" s="671">
        <f>SUM('Schedule 3B_Income_Eastern:Schedule 3D_Income_The Cape'!BY27)</f>
        <v>0</v>
      </c>
      <c r="BZ27" s="671">
        <f>SUM('Schedule 3B_Income_Eastern:Schedule 3D_Income_The Cape'!BZ27)</f>
        <v>0</v>
      </c>
      <c r="CA27" s="671">
        <f>SUM('Schedule 3B_Income_Eastern:Schedule 3D_Income_The Cape'!CA27)</f>
        <v>0</v>
      </c>
      <c r="CB27" s="674">
        <f t="shared" si="56"/>
        <v>0</v>
      </c>
      <c r="CC27" s="675">
        <f t="shared" si="57"/>
        <v>0</v>
      </c>
      <c r="CD27" s="343">
        <v>8</v>
      </c>
      <c r="CE27" s="462">
        <f t="shared" si="58"/>
        <v>0</v>
      </c>
      <c r="CF27" s="462">
        <f t="shared" si="59"/>
        <v>0</v>
      </c>
      <c r="CG27" s="462">
        <f t="shared" si="60"/>
        <v>0</v>
      </c>
      <c r="CH27" s="462">
        <f t="shared" si="61"/>
        <v>0</v>
      </c>
      <c r="CI27" s="464">
        <f t="shared" si="62"/>
        <v>0</v>
      </c>
      <c r="CJ27" s="462">
        <f t="shared" si="63"/>
        <v>0</v>
      </c>
      <c r="CK27" s="462">
        <f t="shared" si="64"/>
        <v>0</v>
      </c>
      <c r="CL27" s="462">
        <f t="shared" si="65"/>
        <v>0</v>
      </c>
      <c r="CM27" s="462">
        <f t="shared" si="66"/>
        <v>0</v>
      </c>
      <c r="CN27" s="464">
        <f t="shared" si="67"/>
        <v>0</v>
      </c>
      <c r="CO27" s="462">
        <f t="shared" si="68"/>
        <v>0</v>
      </c>
      <c r="CP27" s="462">
        <f t="shared" si="69"/>
        <v>0</v>
      </c>
      <c r="CQ27" s="462">
        <f t="shared" si="70"/>
        <v>0</v>
      </c>
      <c r="CR27" s="462">
        <f t="shared" si="71"/>
        <v>0</v>
      </c>
      <c r="CS27" s="464">
        <f t="shared" si="72"/>
        <v>0</v>
      </c>
    </row>
    <row r="28" spans="1:99" ht="15.75" customHeight="1" x14ac:dyDescent="0.25">
      <c r="A28" s="94" t="s">
        <v>1308</v>
      </c>
      <c r="B28" s="343">
        <v>9</v>
      </c>
      <c r="C28" s="671">
        <f>SUM('Schedule 3B_Income_Eastern:Schedule 3D_Income_The Cape'!C28)</f>
        <v>0</v>
      </c>
      <c r="D28" s="671">
        <f>SUM('Schedule 3B_Income_Eastern:Schedule 3D_Income_The Cape'!D28)</f>
        <v>0</v>
      </c>
      <c r="E28" s="671">
        <f>SUM('Schedule 3B_Income_Eastern:Schedule 3D_Income_The Cape'!E28)</f>
        <v>0</v>
      </c>
      <c r="F28" s="671">
        <f>SUM('Schedule 3B_Income_Eastern:Schedule 3D_Income_The Cape'!F28)</f>
        <v>0</v>
      </c>
      <c r="G28" s="671">
        <f>SUM('Schedule 3B_Income_Eastern:Schedule 3D_Income_The Cape'!G28)</f>
        <v>0</v>
      </c>
      <c r="H28" s="671">
        <f>SUM('Schedule 3B_Income_Eastern:Schedule 3D_Income_The Cape'!H28)</f>
        <v>0</v>
      </c>
      <c r="I28" s="671">
        <f>SUM('Schedule 3B_Income_Eastern:Schedule 3D_Income_The Cape'!I28)</f>
        <v>0</v>
      </c>
      <c r="J28" s="671">
        <f>SUM('Schedule 3B_Income_Eastern:Schedule 3D_Income_The Cape'!J28)</f>
        <v>0</v>
      </c>
      <c r="K28" s="672">
        <f t="shared" si="46"/>
        <v>0</v>
      </c>
      <c r="L28" s="673">
        <f>SUM('Schedule 3B_Income_Eastern:Schedule 3D_Income_The Cape'!L28)</f>
        <v>0</v>
      </c>
      <c r="M28" s="671">
        <f>SUM('Schedule 3B_Income_Eastern:Schedule 3D_Income_The Cape'!M28)</f>
        <v>0</v>
      </c>
      <c r="N28" s="671">
        <f>SUM('Schedule 3B_Income_Eastern:Schedule 3D_Income_The Cape'!N28)</f>
        <v>0</v>
      </c>
      <c r="O28" s="671">
        <f>SUM('Schedule 3B_Income_Eastern:Schedule 3D_Income_The Cape'!O28)</f>
        <v>0</v>
      </c>
      <c r="P28" s="671">
        <f>SUM('Schedule 3B_Income_Eastern:Schedule 3D_Income_The Cape'!P28)</f>
        <v>0</v>
      </c>
      <c r="Q28" s="671">
        <f>SUM('Schedule 3B_Income_Eastern:Schedule 3D_Income_The Cape'!Q28)</f>
        <v>0</v>
      </c>
      <c r="R28" s="671">
        <f>SUM('Schedule 3B_Income_Eastern:Schedule 3D_Income_The Cape'!R28)</f>
        <v>0</v>
      </c>
      <c r="S28" s="671">
        <f>SUM('Schedule 3B_Income_Eastern:Schedule 3D_Income_The Cape'!S28)</f>
        <v>0</v>
      </c>
      <c r="T28" s="674">
        <f t="shared" si="47"/>
        <v>0</v>
      </c>
      <c r="U28" s="675">
        <f t="shared" si="48"/>
        <v>0</v>
      </c>
      <c r="V28" s="343">
        <v>9</v>
      </c>
      <c r="W28" s="671">
        <f>SUM('Schedule 3B_Income_Eastern:Schedule 3D_Income_The Cape'!W28)</f>
        <v>0</v>
      </c>
      <c r="X28" s="671">
        <f>SUM('Schedule 3B_Income_Eastern:Schedule 3D_Income_The Cape'!X28)</f>
        <v>0</v>
      </c>
      <c r="Y28" s="671">
        <f>SUM('Schedule 3B_Income_Eastern:Schedule 3D_Income_The Cape'!Y28)</f>
        <v>0</v>
      </c>
      <c r="Z28" s="671">
        <f>SUM('Schedule 3B_Income_Eastern:Schedule 3D_Income_The Cape'!Z28)</f>
        <v>0</v>
      </c>
      <c r="AA28" s="671">
        <f>SUM('Schedule 3B_Income_Eastern:Schedule 3D_Income_The Cape'!AA28)</f>
        <v>0</v>
      </c>
      <c r="AB28" s="671">
        <f>SUM('Schedule 3B_Income_Eastern:Schedule 3D_Income_The Cape'!AB28)</f>
        <v>0</v>
      </c>
      <c r="AC28" s="671">
        <f>SUM('Schedule 3B_Income_Eastern:Schedule 3D_Income_The Cape'!AC28)</f>
        <v>0</v>
      </c>
      <c r="AD28" s="671">
        <f>SUM('Schedule 3B_Income_Eastern:Schedule 3D_Income_The Cape'!AD28)</f>
        <v>0</v>
      </c>
      <c r="AE28" s="672">
        <f t="shared" si="49"/>
        <v>0</v>
      </c>
      <c r="AF28" s="673">
        <f>SUM('Schedule 3B_Income_Eastern:Schedule 3D_Income_The Cape'!AF28)</f>
        <v>0</v>
      </c>
      <c r="AG28" s="671">
        <f>SUM('Schedule 3B_Income_Eastern:Schedule 3D_Income_The Cape'!AG28)</f>
        <v>0</v>
      </c>
      <c r="AH28" s="671">
        <f>SUM('Schedule 3B_Income_Eastern:Schedule 3D_Income_The Cape'!AH28)</f>
        <v>0</v>
      </c>
      <c r="AI28" s="671">
        <f>SUM('Schedule 3B_Income_Eastern:Schedule 3D_Income_The Cape'!AI28)</f>
        <v>0</v>
      </c>
      <c r="AJ28" s="671">
        <f>SUM('Schedule 3B_Income_Eastern:Schedule 3D_Income_The Cape'!AJ28)</f>
        <v>0</v>
      </c>
      <c r="AK28" s="671">
        <f>SUM('Schedule 3B_Income_Eastern:Schedule 3D_Income_The Cape'!AK28)</f>
        <v>0</v>
      </c>
      <c r="AL28" s="671">
        <f>SUM('Schedule 3B_Income_Eastern:Schedule 3D_Income_The Cape'!AL28)</f>
        <v>0</v>
      </c>
      <c r="AM28" s="671">
        <f>SUM('Schedule 3B_Income_Eastern:Schedule 3D_Income_The Cape'!AM28)</f>
        <v>0</v>
      </c>
      <c r="AN28" s="674">
        <f t="shared" si="50"/>
        <v>0</v>
      </c>
      <c r="AO28" s="675">
        <f t="shared" si="51"/>
        <v>0</v>
      </c>
      <c r="AP28" s="343">
        <v>9</v>
      </c>
      <c r="AQ28" s="671">
        <f>SUM('Schedule 3B_Income_Eastern:Schedule 3D_Income_The Cape'!AQ28)</f>
        <v>0</v>
      </c>
      <c r="AR28" s="671">
        <f>SUM('Schedule 3B_Income_Eastern:Schedule 3D_Income_The Cape'!AR28)</f>
        <v>0</v>
      </c>
      <c r="AS28" s="671">
        <f>SUM('Schedule 3B_Income_Eastern:Schedule 3D_Income_The Cape'!AS28)</f>
        <v>0</v>
      </c>
      <c r="AT28" s="671">
        <f>SUM('Schedule 3B_Income_Eastern:Schedule 3D_Income_The Cape'!AT28)</f>
        <v>0</v>
      </c>
      <c r="AU28" s="671">
        <f>SUM('Schedule 3B_Income_Eastern:Schedule 3D_Income_The Cape'!AU28)</f>
        <v>0</v>
      </c>
      <c r="AV28" s="671">
        <f>SUM('Schedule 3B_Income_Eastern:Schedule 3D_Income_The Cape'!AV28)</f>
        <v>0</v>
      </c>
      <c r="AW28" s="671">
        <f>SUM('Schedule 3B_Income_Eastern:Schedule 3D_Income_The Cape'!AW28)</f>
        <v>0</v>
      </c>
      <c r="AX28" s="671">
        <f>SUM('Schedule 3B_Income_Eastern:Schedule 3D_Income_The Cape'!AX28)</f>
        <v>0</v>
      </c>
      <c r="AY28" s="672">
        <f t="shared" si="52"/>
        <v>0</v>
      </c>
      <c r="AZ28" s="673">
        <f>SUM('Schedule 3B_Income_Eastern:Schedule 3D_Income_The Cape'!AZ28)</f>
        <v>0</v>
      </c>
      <c r="BA28" s="671">
        <f>SUM('Schedule 3B_Income_Eastern:Schedule 3D_Income_The Cape'!BA28)</f>
        <v>0</v>
      </c>
      <c r="BB28" s="671">
        <f>SUM('Schedule 3B_Income_Eastern:Schedule 3D_Income_The Cape'!BB28)</f>
        <v>0</v>
      </c>
      <c r="BC28" s="671">
        <f>SUM('Schedule 3B_Income_Eastern:Schedule 3D_Income_The Cape'!BC28)</f>
        <v>0</v>
      </c>
      <c r="BD28" s="671">
        <f>SUM('Schedule 3B_Income_Eastern:Schedule 3D_Income_The Cape'!BD28)</f>
        <v>0</v>
      </c>
      <c r="BE28" s="671">
        <f>SUM('Schedule 3B_Income_Eastern:Schedule 3D_Income_The Cape'!BE28)</f>
        <v>0</v>
      </c>
      <c r="BF28" s="671">
        <f>SUM('Schedule 3B_Income_Eastern:Schedule 3D_Income_The Cape'!BF28)</f>
        <v>0</v>
      </c>
      <c r="BG28" s="671">
        <f>SUM('Schedule 3B_Income_Eastern:Schedule 3D_Income_The Cape'!BG28)</f>
        <v>0</v>
      </c>
      <c r="BH28" s="674">
        <f t="shared" si="53"/>
        <v>0</v>
      </c>
      <c r="BI28" s="675">
        <f t="shared" si="54"/>
        <v>0</v>
      </c>
      <c r="BJ28" s="343">
        <v>9</v>
      </c>
      <c r="BK28" s="671">
        <f>SUM('Schedule 3B_Income_Eastern:Schedule 3D_Income_The Cape'!BK28)</f>
        <v>0</v>
      </c>
      <c r="BL28" s="671">
        <f>SUM('Schedule 3B_Income_Eastern:Schedule 3D_Income_The Cape'!BL28)</f>
        <v>0</v>
      </c>
      <c r="BM28" s="671">
        <f>SUM('Schedule 3B_Income_Eastern:Schedule 3D_Income_The Cape'!BM28)</f>
        <v>0</v>
      </c>
      <c r="BN28" s="671">
        <f>SUM('Schedule 3B_Income_Eastern:Schedule 3D_Income_The Cape'!BN28)</f>
        <v>0</v>
      </c>
      <c r="BO28" s="671">
        <f>SUM('Schedule 3B_Income_Eastern:Schedule 3D_Income_The Cape'!BO28)</f>
        <v>0</v>
      </c>
      <c r="BP28" s="671">
        <f>SUM('Schedule 3B_Income_Eastern:Schedule 3D_Income_The Cape'!BP28)</f>
        <v>0</v>
      </c>
      <c r="BQ28" s="671">
        <f>SUM('Schedule 3B_Income_Eastern:Schedule 3D_Income_The Cape'!BQ28)</f>
        <v>0</v>
      </c>
      <c r="BR28" s="671">
        <f>SUM('Schedule 3B_Income_Eastern:Schedule 3D_Income_The Cape'!BR28)</f>
        <v>0</v>
      </c>
      <c r="BS28" s="672">
        <f t="shared" si="55"/>
        <v>0</v>
      </c>
      <c r="BT28" s="673">
        <f>SUM('Schedule 3B_Income_Eastern:Schedule 3D_Income_The Cape'!BT28)</f>
        <v>0</v>
      </c>
      <c r="BU28" s="671">
        <f>SUM('Schedule 3B_Income_Eastern:Schedule 3D_Income_The Cape'!BU28)</f>
        <v>0</v>
      </c>
      <c r="BV28" s="671">
        <f>SUM('Schedule 3B_Income_Eastern:Schedule 3D_Income_The Cape'!BV28)</f>
        <v>0</v>
      </c>
      <c r="BW28" s="671">
        <f>SUM('Schedule 3B_Income_Eastern:Schedule 3D_Income_The Cape'!BW28)</f>
        <v>0</v>
      </c>
      <c r="BX28" s="671">
        <f>SUM('Schedule 3B_Income_Eastern:Schedule 3D_Income_The Cape'!BX28)</f>
        <v>0</v>
      </c>
      <c r="BY28" s="671">
        <f>SUM('Schedule 3B_Income_Eastern:Schedule 3D_Income_The Cape'!BY28)</f>
        <v>0</v>
      </c>
      <c r="BZ28" s="671">
        <f>SUM('Schedule 3B_Income_Eastern:Schedule 3D_Income_The Cape'!BZ28)</f>
        <v>0</v>
      </c>
      <c r="CA28" s="671">
        <f>SUM('Schedule 3B_Income_Eastern:Schedule 3D_Income_The Cape'!CA28)</f>
        <v>0</v>
      </c>
      <c r="CB28" s="674">
        <f t="shared" si="56"/>
        <v>0</v>
      </c>
      <c r="CC28" s="675">
        <f t="shared" si="57"/>
        <v>0</v>
      </c>
      <c r="CD28" s="343">
        <v>9</v>
      </c>
      <c r="CE28" s="462">
        <f t="shared" si="58"/>
        <v>0</v>
      </c>
      <c r="CF28" s="462">
        <f t="shared" si="59"/>
        <v>0</v>
      </c>
      <c r="CG28" s="462">
        <f t="shared" si="60"/>
        <v>0</v>
      </c>
      <c r="CH28" s="462">
        <f t="shared" si="61"/>
        <v>0</v>
      </c>
      <c r="CI28" s="464">
        <f t="shared" si="62"/>
        <v>0</v>
      </c>
      <c r="CJ28" s="462">
        <f t="shared" si="63"/>
        <v>0</v>
      </c>
      <c r="CK28" s="462">
        <f t="shared" si="64"/>
        <v>0</v>
      </c>
      <c r="CL28" s="462">
        <f t="shared" si="65"/>
        <v>0</v>
      </c>
      <c r="CM28" s="462">
        <f t="shared" si="66"/>
        <v>0</v>
      </c>
      <c r="CN28" s="464">
        <f t="shared" si="67"/>
        <v>0</v>
      </c>
      <c r="CO28" s="462">
        <f t="shared" si="68"/>
        <v>0</v>
      </c>
      <c r="CP28" s="462">
        <f t="shared" si="69"/>
        <v>0</v>
      </c>
      <c r="CQ28" s="462">
        <f t="shared" si="70"/>
        <v>0</v>
      </c>
      <c r="CR28" s="462">
        <f t="shared" si="71"/>
        <v>0</v>
      </c>
      <c r="CS28" s="464">
        <f t="shared" si="72"/>
        <v>0</v>
      </c>
    </row>
    <row r="29" spans="1:99" ht="15.75" customHeight="1" x14ac:dyDescent="0.25">
      <c r="A29" s="94" t="s">
        <v>140</v>
      </c>
      <c r="B29" s="343">
        <v>10</v>
      </c>
      <c r="C29" s="671">
        <f>SUM('Schedule 3B_Income_Eastern:Schedule 3D_Income_The Cape'!C29)</f>
        <v>0</v>
      </c>
      <c r="D29" s="671">
        <f>SUM('Schedule 3B_Income_Eastern:Schedule 3D_Income_The Cape'!D29)</f>
        <v>0</v>
      </c>
      <c r="E29" s="671">
        <f>SUM('Schedule 3B_Income_Eastern:Schedule 3D_Income_The Cape'!E29)</f>
        <v>0</v>
      </c>
      <c r="F29" s="671">
        <f>SUM('Schedule 3B_Income_Eastern:Schedule 3D_Income_The Cape'!F29)</f>
        <v>0</v>
      </c>
      <c r="G29" s="671">
        <f>SUM('Schedule 3B_Income_Eastern:Schedule 3D_Income_The Cape'!G29)</f>
        <v>0</v>
      </c>
      <c r="H29" s="671">
        <f>SUM('Schedule 3B_Income_Eastern:Schedule 3D_Income_The Cape'!H29)</f>
        <v>0</v>
      </c>
      <c r="I29" s="671">
        <f>SUM('Schedule 3B_Income_Eastern:Schedule 3D_Income_The Cape'!I29)</f>
        <v>0</v>
      </c>
      <c r="J29" s="671">
        <f>SUM('Schedule 3B_Income_Eastern:Schedule 3D_Income_The Cape'!J29)</f>
        <v>0</v>
      </c>
      <c r="K29" s="672">
        <f t="shared" si="46"/>
        <v>0</v>
      </c>
      <c r="L29" s="673">
        <f>SUM('Schedule 3B_Income_Eastern:Schedule 3D_Income_The Cape'!L29)</f>
        <v>0</v>
      </c>
      <c r="M29" s="671">
        <f>SUM('Schedule 3B_Income_Eastern:Schedule 3D_Income_The Cape'!M29)</f>
        <v>8.4563494679200553E-5</v>
      </c>
      <c r="N29" s="671">
        <f>SUM('Schedule 3B_Income_Eastern:Schedule 3D_Income_The Cape'!N29)</f>
        <v>0</v>
      </c>
      <c r="O29" s="671">
        <f>SUM('Schedule 3B_Income_Eastern:Schedule 3D_Income_The Cape'!O29)</f>
        <v>7.6251896475578937E-5</v>
      </c>
      <c r="P29" s="671">
        <f>SUM('Schedule 3B_Income_Eastern:Schedule 3D_Income_The Cape'!P29)</f>
        <v>0</v>
      </c>
      <c r="Q29" s="671">
        <f>SUM('Schedule 3B_Income_Eastern:Schedule 3D_Income_The Cape'!Q29)</f>
        <v>8.2534030384658812E-5</v>
      </c>
      <c r="R29" s="671">
        <f>SUM('Schedule 3B_Income_Eastern:Schedule 3D_Income_The Cape'!R29)</f>
        <v>0</v>
      </c>
      <c r="S29" s="671">
        <f>SUM('Schedule 3B_Income_Eastern:Schedule 3D_Income_The Cape'!S29)</f>
        <v>8.3047793178671553E-5</v>
      </c>
      <c r="T29" s="674">
        <f t="shared" si="47"/>
        <v>3.2639721471810985E-4</v>
      </c>
      <c r="U29" s="675">
        <f t="shared" si="48"/>
        <v>3.2639721471810985E-4</v>
      </c>
      <c r="V29" s="343">
        <v>10</v>
      </c>
      <c r="W29" s="671">
        <f>SUM('Schedule 3B_Income_Eastern:Schedule 3D_Income_The Cape'!W29)</f>
        <v>0</v>
      </c>
      <c r="X29" s="671">
        <f>SUM('Schedule 3B_Income_Eastern:Schedule 3D_Income_The Cape'!X29)</f>
        <v>0</v>
      </c>
      <c r="Y29" s="671">
        <f>SUM('Schedule 3B_Income_Eastern:Schedule 3D_Income_The Cape'!Y29)</f>
        <v>0</v>
      </c>
      <c r="Z29" s="671">
        <f>SUM('Schedule 3B_Income_Eastern:Schedule 3D_Income_The Cape'!Z29)</f>
        <v>0</v>
      </c>
      <c r="AA29" s="671">
        <f>SUM('Schedule 3B_Income_Eastern:Schedule 3D_Income_The Cape'!AA29)</f>
        <v>0</v>
      </c>
      <c r="AB29" s="671">
        <f>SUM('Schedule 3B_Income_Eastern:Schedule 3D_Income_The Cape'!AB29)</f>
        <v>0</v>
      </c>
      <c r="AC29" s="671">
        <f>SUM('Schedule 3B_Income_Eastern:Schedule 3D_Income_The Cape'!AC29)</f>
        <v>0</v>
      </c>
      <c r="AD29" s="671">
        <f>SUM('Schedule 3B_Income_Eastern:Schedule 3D_Income_The Cape'!AD29)</f>
        <v>0</v>
      </c>
      <c r="AE29" s="672">
        <f t="shared" si="49"/>
        <v>0</v>
      </c>
      <c r="AF29" s="673">
        <f>SUM('Schedule 3B_Income_Eastern:Schedule 3D_Income_The Cape'!AF29)</f>
        <v>0</v>
      </c>
      <c r="AG29" s="671">
        <f>SUM('Schedule 3B_Income_Eastern:Schedule 3D_Income_The Cape'!AG29)</f>
        <v>2.8227958490778262E-5</v>
      </c>
      <c r="AH29" s="671">
        <f>SUM('Schedule 3B_Income_Eastern:Schedule 3D_Income_The Cape'!AH29)</f>
        <v>0</v>
      </c>
      <c r="AI29" s="671">
        <f>SUM('Schedule 3B_Income_Eastern:Schedule 3D_Income_The Cape'!AI29)</f>
        <v>2.2905672218952918E-5</v>
      </c>
      <c r="AJ29" s="671">
        <f>SUM('Schedule 3B_Income_Eastern:Schedule 3D_Income_The Cape'!AJ29)</f>
        <v>0</v>
      </c>
      <c r="AK29" s="671">
        <f>SUM('Schedule 3B_Income_Eastern:Schedule 3D_Income_The Cape'!AK29)</f>
        <v>2.422422095870781E-5</v>
      </c>
      <c r="AL29" s="671">
        <f>SUM('Schedule 3B_Income_Eastern:Schedule 3D_Income_The Cape'!AL29)</f>
        <v>0</v>
      </c>
      <c r="AM29" s="671">
        <f>SUM('Schedule 3B_Income_Eastern:Schedule 3D_Income_The Cape'!AM29)</f>
        <v>2.458769521564244E-5</v>
      </c>
      <c r="AN29" s="674">
        <f t="shared" si="50"/>
        <v>9.9945546884081443E-5</v>
      </c>
      <c r="AO29" s="675">
        <f t="shared" si="51"/>
        <v>9.9945546884081443E-5</v>
      </c>
      <c r="AP29" s="343">
        <v>10</v>
      </c>
      <c r="AQ29" s="671">
        <f>SUM('Schedule 3B_Income_Eastern:Schedule 3D_Income_The Cape'!AQ29)</f>
        <v>0</v>
      </c>
      <c r="AR29" s="671">
        <f>SUM('Schedule 3B_Income_Eastern:Schedule 3D_Income_The Cape'!AR29)</f>
        <v>0</v>
      </c>
      <c r="AS29" s="671">
        <f>SUM('Schedule 3B_Income_Eastern:Schedule 3D_Income_The Cape'!AS29)</f>
        <v>0</v>
      </c>
      <c r="AT29" s="671">
        <f>SUM('Schedule 3B_Income_Eastern:Schedule 3D_Income_The Cape'!AT29)</f>
        <v>0</v>
      </c>
      <c r="AU29" s="671">
        <f>SUM('Schedule 3B_Income_Eastern:Schedule 3D_Income_The Cape'!AU29)</f>
        <v>0</v>
      </c>
      <c r="AV29" s="671">
        <f>SUM('Schedule 3B_Income_Eastern:Schedule 3D_Income_The Cape'!AV29)</f>
        <v>0</v>
      </c>
      <c r="AW29" s="671">
        <f>SUM('Schedule 3B_Income_Eastern:Schedule 3D_Income_The Cape'!AW29)</f>
        <v>0</v>
      </c>
      <c r="AX29" s="671">
        <f>SUM('Schedule 3B_Income_Eastern:Schedule 3D_Income_The Cape'!AX29)</f>
        <v>0</v>
      </c>
      <c r="AY29" s="672">
        <f t="shared" si="52"/>
        <v>0</v>
      </c>
      <c r="AZ29" s="673">
        <f>SUM('Schedule 3B_Income_Eastern:Schedule 3D_Income_The Cape'!AZ29)</f>
        <v>0</v>
      </c>
      <c r="BA29" s="671">
        <f>SUM('Schedule 3B_Income_Eastern:Schedule 3D_Income_The Cape'!BA29)</f>
        <v>6.5962382608664551E-4</v>
      </c>
      <c r="BB29" s="671">
        <f>SUM('Schedule 3B_Income_Eastern:Schedule 3D_Income_The Cape'!BB29)</f>
        <v>0</v>
      </c>
      <c r="BC29" s="671">
        <f>SUM('Schedule 3B_Income_Eastern:Schedule 3D_Income_The Cape'!BC29)</f>
        <v>5.3063839116359961E-4</v>
      </c>
      <c r="BD29" s="671">
        <f>SUM('Schedule 3B_Income_Eastern:Schedule 3D_Income_The Cape'!BD29)</f>
        <v>0</v>
      </c>
      <c r="BE29" s="671">
        <f>SUM('Schedule 3B_Income_Eastern:Schedule 3D_Income_The Cape'!BE29)</f>
        <v>6.0614805390531775E-4</v>
      </c>
      <c r="BF29" s="671">
        <f>SUM('Schedule 3B_Income_Eastern:Schedule 3D_Income_The Cape'!BF29)</f>
        <v>0</v>
      </c>
      <c r="BG29" s="671">
        <f>SUM('Schedule 3B_Income_Eastern:Schedule 3D_Income_The Cape'!BG29)</f>
        <v>6.0884775008151191E-4</v>
      </c>
      <c r="BH29" s="674">
        <f t="shared" si="53"/>
        <v>2.405258021237075E-3</v>
      </c>
      <c r="BI29" s="675">
        <f t="shared" si="54"/>
        <v>2.405258021237075E-3</v>
      </c>
      <c r="BJ29" s="343">
        <v>10</v>
      </c>
      <c r="BK29" s="671">
        <f>SUM('Schedule 3B_Income_Eastern:Schedule 3D_Income_The Cape'!BK29)</f>
        <v>0</v>
      </c>
      <c r="BL29" s="671">
        <f>SUM('Schedule 3B_Income_Eastern:Schedule 3D_Income_The Cape'!BL29)</f>
        <v>0</v>
      </c>
      <c r="BM29" s="671">
        <f>SUM('Schedule 3B_Income_Eastern:Schedule 3D_Income_The Cape'!BM29)</f>
        <v>0</v>
      </c>
      <c r="BN29" s="671">
        <f>SUM('Schedule 3B_Income_Eastern:Schedule 3D_Income_The Cape'!BN29)</f>
        <v>0</v>
      </c>
      <c r="BO29" s="671">
        <f>SUM('Schedule 3B_Income_Eastern:Schedule 3D_Income_The Cape'!BO29)</f>
        <v>0</v>
      </c>
      <c r="BP29" s="671">
        <f>SUM('Schedule 3B_Income_Eastern:Schedule 3D_Income_The Cape'!BP29)</f>
        <v>0</v>
      </c>
      <c r="BQ29" s="671">
        <f>SUM('Schedule 3B_Income_Eastern:Schedule 3D_Income_The Cape'!BQ29)</f>
        <v>0</v>
      </c>
      <c r="BR29" s="671">
        <f>SUM('Schedule 3B_Income_Eastern:Schedule 3D_Income_The Cape'!BR29)</f>
        <v>0</v>
      </c>
      <c r="BS29" s="672">
        <f t="shared" si="55"/>
        <v>0</v>
      </c>
      <c r="BT29" s="673">
        <f>SUM('Schedule 3B_Income_Eastern:Schedule 3D_Income_The Cape'!BT29)</f>
        <v>0</v>
      </c>
      <c r="BU29" s="671">
        <f>SUM('Schedule 3B_Income_Eastern:Schedule 3D_Income_The Cape'!BU29)</f>
        <v>2.5773207897709985E-5</v>
      </c>
      <c r="BV29" s="671">
        <f>SUM('Schedule 3B_Income_Eastern:Schedule 3D_Income_The Cape'!BV29)</f>
        <v>0</v>
      </c>
      <c r="BW29" s="671">
        <f>SUM('Schedule 3B_Income_Eastern:Schedule 3D_Income_The Cape'!BW29)</f>
        <v>2.2092085926153208E-5</v>
      </c>
      <c r="BX29" s="671">
        <f>SUM('Schedule 3B_Income_Eastern:Schedule 3D_Income_The Cape'!BX29)</f>
        <v>0</v>
      </c>
      <c r="BY29" s="671">
        <f>SUM('Schedule 3B_Income_Eastern:Schedule 3D_Income_The Cape'!BY29)</f>
        <v>2.3027447117988123E-5</v>
      </c>
      <c r="BZ29" s="671">
        <f>SUM('Schedule 3B_Income_Eastern:Schedule 3D_Income_The Cape'!BZ29)</f>
        <v>0</v>
      </c>
      <c r="CA29" s="671">
        <f>SUM('Schedule 3B_Income_Eastern:Schedule 3D_Income_The Cape'!CA29)</f>
        <v>2.7422906949255127E-5</v>
      </c>
      <c r="CB29" s="674">
        <f t="shared" si="56"/>
        <v>9.8315647891106443E-5</v>
      </c>
      <c r="CC29" s="675">
        <f t="shared" si="57"/>
        <v>9.8315647891106443E-5</v>
      </c>
      <c r="CD29" s="343">
        <v>10</v>
      </c>
      <c r="CE29" s="462">
        <f t="shared" si="58"/>
        <v>0</v>
      </c>
      <c r="CF29" s="462">
        <f t="shared" si="59"/>
        <v>0</v>
      </c>
      <c r="CG29" s="462">
        <f t="shared" si="60"/>
        <v>0</v>
      </c>
      <c r="CH29" s="462">
        <f t="shared" si="61"/>
        <v>0</v>
      </c>
      <c r="CI29" s="464">
        <f t="shared" si="62"/>
        <v>0</v>
      </c>
      <c r="CJ29" s="462">
        <f t="shared" si="63"/>
        <v>7.9818848715433436E-4</v>
      </c>
      <c r="CK29" s="462">
        <f t="shared" si="64"/>
        <v>6.5188804578428467E-4</v>
      </c>
      <c r="CL29" s="462">
        <f t="shared" si="65"/>
        <v>7.3593375236667247E-4</v>
      </c>
      <c r="CM29" s="462">
        <f t="shared" si="66"/>
        <v>7.4390614542508096E-4</v>
      </c>
      <c r="CN29" s="464">
        <f t="shared" si="67"/>
        <v>2.9299164307303727E-3</v>
      </c>
      <c r="CO29" s="462">
        <f t="shared" si="68"/>
        <v>7.9818848715433436E-4</v>
      </c>
      <c r="CP29" s="462">
        <f t="shared" si="69"/>
        <v>6.5188804578428467E-4</v>
      </c>
      <c r="CQ29" s="462">
        <f t="shared" si="70"/>
        <v>7.3593375236667247E-4</v>
      </c>
      <c r="CR29" s="462">
        <f t="shared" si="71"/>
        <v>7.4390614542508096E-4</v>
      </c>
      <c r="CS29" s="464">
        <f t="shared" si="72"/>
        <v>2.9299164307303731E-3</v>
      </c>
    </row>
    <row r="30" spans="1:99" ht="15.75" customHeight="1" x14ac:dyDescent="0.25">
      <c r="A30" s="148" t="s">
        <v>142</v>
      </c>
      <c r="B30" s="343">
        <v>11</v>
      </c>
      <c r="C30" s="150">
        <f t="shared" ref="C30" si="73">SUM(C25:C29)</f>
        <v>0</v>
      </c>
      <c r="D30" s="150">
        <f t="shared" ref="D30:J30" si="74">SUM(D25:D29)</f>
        <v>0</v>
      </c>
      <c r="E30" s="150">
        <f t="shared" si="74"/>
        <v>0</v>
      </c>
      <c r="F30" s="150">
        <f t="shared" si="74"/>
        <v>0</v>
      </c>
      <c r="G30" s="150">
        <f t="shared" si="74"/>
        <v>0</v>
      </c>
      <c r="H30" s="150">
        <f t="shared" si="74"/>
        <v>0</v>
      </c>
      <c r="I30" s="150">
        <f t="shared" si="74"/>
        <v>0</v>
      </c>
      <c r="J30" s="150">
        <f t="shared" si="74"/>
        <v>0</v>
      </c>
      <c r="K30" s="672">
        <f t="shared" si="46"/>
        <v>0</v>
      </c>
      <c r="L30" s="237">
        <f t="shared" ref="L30:S30" si="75">SUM(L25:L29)</f>
        <v>0</v>
      </c>
      <c r="M30" s="150">
        <f t="shared" si="75"/>
        <v>8.4563494679200553E-5</v>
      </c>
      <c r="N30" s="150">
        <f t="shared" si="75"/>
        <v>0</v>
      </c>
      <c r="O30" s="150">
        <f t="shared" si="75"/>
        <v>7.6251896475578937E-5</v>
      </c>
      <c r="P30" s="150">
        <f t="shared" si="75"/>
        <v>0</v>
      </c>
      <c r="Q30" s="150">
        <f t="shared" si="75"/>
        <v>8.2534030384658812E-5</v>
      </c>
      <c r="R30" s="150">
        <f t="shared" si="75"/>
        <v>0</v>
      </c>
      <c r="S30" s="150">
        <f t="shared" si="75"/>
        <v>8.3047793178671553E-5</v>
      </c>
      <c r="T30" s="674">
        <f t="shared" si="47"/>
        <v>3.2639721471810985E-4</v>
      </c>
      <c r="U30" s="675">
        <f t="shared" si="48"/>
        <v>3.2639721471810985E-4</v>
      </c>
      <c r="V30" s="343">
        <v>11</v>
      </c>
      <c r="W30" s="150">
        <f t="shared" ref="W30:AD30" si="76">SUM(W25:W29)</f>
        <v>0</v>
      </c>
      <c r="X30" s="150">
        <f t="shared" si="76"/>
        <v>0</v>
      </c>
      <c r="Y30" s="150">
        <f t="shared" si="76"/>
        <v>0</v>
      </c>
      <c r="Z30" s="150">
        <f t="shared" si="76"/>
        <v>0</v>
      </c>
      <c r="AA30" s="150">
        <f t="shared" si="76"/>
        <v>0</v>
      </c>
      <c r="AB30" s="150">
        <f t="shared" si="76"/>
        <v>0</v>
      </c>
      <c r="AC30" s="150">
        <f t="shared" si="76"/>
        <v>0</v>
      </c>
      <c r="AD30" s="150">
        <f t="shared" si="76"/>
        <v>0</v>
      </c>
      <c r="AE30" s="672">
        <f t="shared" si="49"/>
        <v>0</v>
      </c>
      <c r="AF30" s="237">
        <f t="shared" ref="AF30:AM30" si="77">SUM(AF25:AF29)</f>
        <v>0</v>
      </c>
      <c r="AG30" s="150">
        <f t="shared" si="77"/>
        <v>2.8227958490778262E-5</v>
      </c>
      <c r="AH30" s="150">
        <f t="shared" si="77"/>
        <v>0</v>
      </c>
      <c r="AI30" s="150">
        <f t="shared" si="77"/>
        <v>2.2905672218952918E-5</v>
      </c>
      <c r="AJ30" s="150">
        <f t="shared" si="77"/>
        <v>0</v>
      </c>
      <c r="AK30" s="150">
        <f t="shared" si="77"/>
        <v>2.422422095870781E-5</v>
      </c>
      <c r="AL30" s="150">
        <f t="shared" si="77"/>
        <v>0</v>
      </c>
      <c r="AM30" s="150">
        <f t="shared" si="77"/>
        <v>2.458769521564244E-5</v>
      </c>
      <c r="AN30" s="674">
        <f t="shared" si="50"/>
        <v>9.9945546884081443E-5</v>
      </c>
      <c r="AO30" s="675">
        <f t="shared" si="51"/>
        <v>9.9945546884081443E-5</v>
      </c>
      <c r="AP30" s="343">
        <v>11</v>
      </c>
      <c r="AQ30" s="150">
        <f t="shared" ref="AQ30:AX30" si="78">SUM(AQ25:AQ29)</f>
        <v>0</v>
      </c>
      <c r="AR30" s="150">
        <f t="shared" si="78"/>
        <v>0</v>
      </c>
      <c r="AS30" s="150">
        <f t="shared" si="78"/>
        <v>0</v>
      </c>
      <c r="AT30" s="150">
        <f t="shared" si="78"/>
        <v>0</v>
      </c>
      <c r="AU30" s="150">
        <f t="shared" si="78"/>
        <v>0</v>
      </c>
      <c r="AV30" s="150">
        <f t="shared" si="78"/>
        <v>0</v>
      </c>
      <c r="AW30" s="150">
        <f t="shared" si="78"/>
        <v>0</v>
      </c>
      <c r="AX30" s="150">
        <f t="shared" si="78"/>
        <v>0</v>
      </c>
      <c r="AY30" s="672">
        <f t="shared" si="52"/>
        <v>0</v>
      </c>
      <c r="AZ30" s="237">
        <f t="shared" ref="AZ30:BG30" si="79">SUM(AZ25:AZ29)</f>
        <v>0</v>
      </c>
      <c r="BA30" s="150">
        <f t="shared" si="79"/>
        <v>6.5962382608664551E-4</v>
      </c>
      <c r="BB30" s="150">
        <f t="shared" si="79"/>
        <v>0</v>
      </c>
      <c r="BC30" s="150">
        <f t="shared" si="79"/>
        <v>5.3063839116359961E-4</v>
      </c>
      <c r="BD30" s="150">
        <f t="shared" si="79"/>
        <v>0</v>
      </c>
      <c r="BE30" s="150">
        <f t="shared" si="79"/>
        <v>6.0614805390531775E-4</v>
      </c>
      <c r="BF30" s="150">
        <f t="shared" si="79"/>
        <v>0</v>
      </c>
      <c r="BG30" s="150">
        <f t="shared" si="79"/>
        <v>6.0884775008151191E-4</v>
      </c>
      <c r="BH30" s="674">
        <f t="shared" si="53"/>
        <v>2.405258021237075E-3</v>
      </c>
      <c r="BI30" s="675">
        <f t="shared" si="54"/>
        <v>2.405258021237075E-3</v>
      </c>
      <c r="BJ30" s="343">
        <v>11</v>
      </c>
      <c r="BK30" s="150">
        <f t="shared" ref="BK30:BR30" si="80">SUM(BK25:BK29)</f>
        <v>39047.096670724146</v>
      </c>
      <c r="BL30" s="150">
        <f t="shared" si="80"/>
        <v>439297.9133294358</v>
      </c>
      <c r="BM30" s="150">
        <f t="shared" si="80"/>
        <v>40330.591738937932</v>
      </c>
      <c r="BN30" s="150">
        <f t="shared" si="80"/>
        <v>432379.40826106205</v>
      </c>
      <c r="BO30" s="150">
        <f t="shared" si="80"/>
        <v>39354.187244798115</v>
      </c>
      <c r="BP30" s="150">
        <f t="shared" si="80"/>
        <v>433355.81275520194</v>
      </c>
      <c r="BQ30" s="150">
        <f t="shared" si="80"/>
        <v>188776.44561570021</v>
      </c>
      <c r="BR30" s="150">
        <f t="shared" si="80"/>
        <v>1798882.7143844604</v>
      </c>
      <c r="BS30" s="672">
        <f t="shared" si="55"/>
        <v>3411424.1700003203</v>
      </c>
      <c r="BT30" s="237">
        <f t="shared" ref="BT30:CA30" si="81">SUM(BT25:BT29)</f>
        <v>0</v>
      </c>
      <c r="BU30" s="150">
        <f t="shared" si="81"/>
        <v>2.5773207897709985E-5</v>
      </c>
      <c r="BV30" s="150">
        <f t="shared" si="81"/>
        <v>0</v>
      </c>
      <c r="BW30" s="150">
        <f t="shared" si="81"/>
        <v>2.2092085926153208E-5</v>
      </c>
      <c r="BX30" s="150">
        <f t="shared" si="81"/>
        <v>0</v>
      </c>
      <c r="BY30" s="150">
        <f t="shared" si="81"/>
        <v>2.3027447117988123E-5</v>
      </c>
      <c r="BZ30" s="150">
        <f t="shared" si="81"/>
        <v>0</v>
      </c>
      <c r="CA30" s="150">
        <f t="shared" si="81"/>
        <v>2.7422906949255127E-5</v>
      </c>
      <c r="CB30" s="674">
        <f t="shared" si="56"/>
        <v>9.8315647891106443E-5</v>
      </c>
      <c r="CC30" s="675">
        <f t="shared" si="57"/>
        <v>3411424.1700986358</v>
      </c>
      <c r="CD30" s="343">
        <v>11</v>
      </c>
      <c r="CE30" s="462">
        <f t="shared" si="58"/>
        <v>478345.01000015996</v>
      </c>
      <c r="CF30" s="462">
        <f t="shared" si="59"/>
        <v>472710</v>
      </c>
      <c r="CG30" s="462">
        <f t="shared" si="60"/>
        <v>472710.00000000006</v>
      </c>
      <c r="CH30" s="462">
        <f t="shared" si="61"/>
        <v>1987659.1600001606</v>
      </c>
      <c r="CI30" s="464">
        <f t="shared" si="62"/>
        <v>3411424.1700003203</v>
      </c>
      <c r="CJ30" s="462">
        <f t="shared" si="63"/>
        <v>7.9818848715433436E-4</v>
      </c>
      <c r="CK30" s="462">
        <f t="shared" si="64"/>
        <v>6.5188804578428467E-4</v>
      </c>
      <c r="CL30" s="462">
        <f t="shared" si="65"/>
        <v>7.3593375236667247E-4</v>
      </c>
      <c r="CM30" s="462">
        <f t="shared" si="66"/>
        <v>7.4390614542508096E-4</v>
      </c>
      <c r="CN30" s="464">
        <f t="shared" si="67"/>
        <v>2.9299164307303727E-3</v>
      </c>
      <c r="CO30" s="462">
        <f t="shared" si="68"/>
        <v>478345.0107983484</v>
      </c>
      <c r="CP30" s="462">
        <f t="shared" si="69"/>
        <v>472710.00065188803</v>
      </c>
      <c r="CQ30" s="462">
        <f t="shared" si="70"/>
        <v>472710.00073593383</v>
      </c>
      <c r="CR30" s="462">
        <f t="shared" si="71"/>
        <v>1987659.1607440666</v>
      </c>
      <c r="CS30" s="464">
        <f t="shared" si="72"/>
        <v>3411424.1729302364</v>
      </c>
      <c r="CU30" s="808"/>
    </row>
    <row r="31" spans="1:99" ht="15.75" customHeight="1" x14ac:dyDescent="0.25">
      <c r="A31" s="148" t="s">
        <v>146</v>
      </c>
      <c r="B31" s="343"/>
      <c r="C31" s="207" t="s">
        <v>32</v>
      </c>
      <c r="D31" s="207" t="s">
        <v>32</v>
      </c>
      <c r="E31" s="207" t="s">
        <v>32</v>
      </c>
      <c r="F31" s="207" t="s">
        <v>32</v>
      </c>
      <c r="G31" s="207" t="s">
        <v>32</v>
      </c>
      <c r="H31" s="207" t="s">
        <v>32</v>
      </c>
      <c r="I31" s="207" t="s">
        <v>32</v>
      </c>
      <c r="J31" s="207" t="s">
        <v>32</v>
      </c>
      <c r="K31" s="426"/>
      <c r="L31" s="427" t="s">
        <v>32</v>
      </c>
      <c r="M31" s="207" t="s">
        <v>32</v>
      </c>
      <c r="N31" s="207" t="s">
        <v>32</v>
      </c>
      <c r="O31" s="207" t="s">
        <v>32</v>
      </c>
      <c r="P31" s="207" t="s">
        <v>32</v>
      </c>
      <c r="Q31" s="207" t="s">
        <v>32</v>
      </c>
      <c r="R31" s="207" t="s">
        <v>32</v>
      </c>
      <c r="S31" s="207" t="s">
        <v>32</v>
      </c>
      <c r="T31" s="428"/>
      <c r="U31" s="427" t="s">
        <v>32</v>
      </c>
      <c r="V31" s="343"/>
      <c r="W31" s="207" t="s">
        <v>32</v>
      </c>
      <c r="X31" s="207" t="s">
        <v>32</v>
      </c>
      <c r="Y31" s="207" t="s">
        <v>32</v>
      </c>
      <c r="Z31" s="207" t="s">
        <v>32</v>
      </c>
      <c r="AA31" s="207" t="s">
        <v>32</v>
      </c>
      <c r="AB31" s="207" t="s">
        <v>32</v>
      </c>
      <c r="AC31" s="207" t="s">
        <v>32</v>
      </c>
      <c r="AD31" s="207" t="s">
        <v>32</v>
      </c>
      <c r="AE31" s="426"/>
      <c r="AF31" s="427" t="s">
        <v>32</v>
      </c>
      <c r="AG31" s="207" t="s">
        <v>32</v>
      </c>
      <c r="AH31" s="207" t="s">
        <v>32</v>
      </c>
      <c r="AI31" s="207" t="s">
        <v>32</v>
      </c>
      <c r="AJ31" s="207" t="s">
        <v>32</v>
      </c>
      <c r="AK31" s="207" t="s">
        <v>32</v>
      </c>
      <c r="AL31" s="207" t="s">
        <v>32</v>
      </c>
      <c r="AM31" s="207" t="s">
        <v>32</v>
      </c>
      <c r="AN31" s="428"/>
      <c r="AO31" s="427" t="s">
        <v>32</v>
      </c>
      <c r="AP31" s="343"/>
      <c r="AQ31" s="207" t="s">
        <v>32</v>
      </c>
      <c r="AR31" s="207" t="s">
        <v>32</v>
      </c>
      <c r="AS31" s="207" t="s">
        <v>32</v>
      </c>
      <c r="AT31" s="207" t="s">
        <v>32</v>
      </c>
      <c r="AU31" s="207" t="s">
        <v>32</v>
      </c>
      <c r="AV31" s="207" t="s">
        <v>32</v>
      </c>
      <c r="AW31" s="207" t="s">
        <v>32</v>
      </c>
      <c r="AX31" s="207" t="s">
        <v>32</v>
      </c>
      <c r="AY31" s="426"/>
      <c r="AZ31" s="427" t="s">
        <v>32</v>
      </c>
      <c r="BA31" s="207" t="s">
        <v>32</v>
      </c>
      <c r="BB31" s="207" t="s">
        <v>32</v>
      </c>
      <c r="BC31" s="207" t="s">
        <v>32</v>
      </c>
      <c r="BD31" s="207" t="s">
        <v>32</v>
      </c>
      <c r="BE31" s="207" t="s">
        <v>32</v>
      </c>
      <c r="BF31" s="207" t="s">
        <v>32</v>
      </c>
      <c r="BG31" s="207" t="s">
        <v>32</v>
      </c>
      <c r="BH31" s="428"/>
      <c r="BI31" s="427" t="s">
        <v>32</v>
      </c>
      <c r="BJ31" s="343"/>
      <c r="BK31" s="207" t="s">
        <v>32</v>
      </c>
      <c r="BL31" s="207" t="s">
        <v>32</v>
      </c>
      <c r="BM31" s="207" t="s">
        <v>32</v>
      </c>
      <c r="BN31" s="207" t="s">
        <v>32</v>
      </c>
      <c r="BO31" s="207" t="s">
        <v>32</v>
      </c>
      <c r="BP31" s="207" t="s">
        <v>32</v>
      </c>
      <c r="BQ31" s="207" t="s">
        <v>32</v>
      </c>
      <c r="BR31" s="207" t="s">
        <v>32</v>
      </c>
      <c r="BS31" s="426"/>
      <c r="BT31" s="427" t="s">
        <v>32</v>
      </c>
      <c r="BU31" s="207" t="s">
        <v>32</v>
      </c>
      <c r="BV31" s="207" t="s">
        <v>32</v>
      </c>
      <c r="BW31" s="207" t="s">
        <v>32</v>
      </c>
      <c r="BX31" s="207" t="s">
        <v>32</v>
      </c>
      <c r="BY31" s="207" t="s">
        <v>32</v>
      </c>
      <c r="BZ31" s="207" t="s">
        <v>32</v>
      </c>
      <c r="CA31" s="207" t="s">
        <v>32</v>
      </c>
      <c r="CB31" s="428"/>
      <c r="CC31" s="427" t="s">
        <v>32</v>
      </c>
      <c r="CD31" s="343"/>
      <c r="CE31" s="428"/>
      <c r="CF31" s="428"/>
      <c r="CG31" s="428"/>
      <c r="CH31" s="428"/>
      <c r="CI31" s="207"/>
      <c r="CJ31" s="428"/>
      <c r="CK31" s="428"/>
      <c r="CL31" s="428"/>
      <c r="CM31" s="428"/>
      <c r="CN31" s="207"/>
      <c r="CO31" s="428"/>
      <c r="CP31" s="428"/>
      <c r="CQ31" s="428"/>
      <c r="CR31" s="428"/>
      <c r="CS31" s="207"/>
      <c r="CU31" s="362"/>
    </row>
    <row r="32" spans="1:99" s="361" customFormat="1" ht="15.75" customHeight="1" x14ac:dyDescent="0.25">
      <c r="A32" s="19" t="s">
        <v>45</v>
      </c>
      <c r="B32" s="343">
        <v>12</v>
      </c>
      <c r="C32" s="236">
        <f t="shared" ref="C32:U32" si="82">C23+C30</f>
        <v>1307128.7700000301</v>
      </c>
      <c r="D32" s="236">
        <f t="shared" si="82"/>
        <v>2748729.3400002411</v>
      </c>
      <c r="E32" s="236">
        <f t="shared" si="82"/>
        <v>1341341.6300000299</v>
      </c>
      <c r="F32" s="236">
        <f t="shared" si="82"/>
        <v>2840054.1000002613</v>
      </c>
      <c r="G32" s="236">
        <f t="shared" si="82"/>
        <v>1385971.5800000401</v>
      </c>
      <c r="H32" s="236">
        <f t="shared" si="82"/>
        <v>2971360.1100002816</v>
      </c>
      <c r="I32" s="236">
        <f t="shared" si="82"/>
        <v>1442131.6200000402</v>
      </c>
      <c r="J32" s="236">
        <f t="shared" si="82"/>
        <v>3017796.5900002834</v>
      </c>
      <c r="K32" s="241">
        <f t="shared" si="82"/>
        <v>17054513.740001209</v>
      </c>
      <c r="L32" s="238">
        <f t="shared" si="82"/>
        <v>0</v>
      </c>
      <c r="M32" s="236">
        <f t="shared" si="82"/>
        <v>7666094.3085255735</v>
      </c>
      <c r="N32" s="236">
        <f t="shared" si="82"/>
        <v>0</v>
      </c>
      <c r="O32" s="236">
        <f t="shared" si="82"/>
        <v>7070520.7275369382</v>
      </c>
      <c r="P32" s="236">
        <f t="shared" si="82"/>
        <v>0</v>
      </c>
      <c r="Q32" s="236">
        <f t="shared" si="82"/>
        <v>7943223.708957145</v>
      </c>
      <c r="R32" s="236">
        <f t="shared" si="82"/>
        <v>0</v>
      </c>
      <c r="S32" s="236">
        <f t="shared" si="82"/>
        <v>8113179.2456696462</v>
      </c>
      <c r="T32" s="239">
        <f t="shared" si="82"/>
        <v>30793017.990689304</v>
      </c>
      <c r="U32" s="238">
        <f t="shared" si="82"/>
        <v>47847531.730690509</v>
      </c>
      <c r="V32" s="343">
        <v>12</v>
      </c>
      <c r="W32" s="236">
        <f t="shared" ref="W32:AO32" si="83">W23+W30</f>
        <v>213609.91999999998</v>
      </c>
      <c r="X32" s="236">
        <f t="shared" si="83"/>
        <v>1419351.3100000189</v>
      </c>
      <c r="Y32" s="236">
        <f t="shared" si="83"/>
        <v>211953.99</v>
      </c>
      <c r="Z32" s="236">
        <f t="shared" si="83"/>
        <v>1356663.7700000182</v>
      </c>
      <c r="AA32" s="236">
        <f t="shared" si="83"/>
        <v>207474.36</v>
      </c>
      <c r="AB32" s="236">
        <f t="shared" si="83"/>
        <v>1365124.360000019</v>
      </c>
      <c r="AC32" s="236">
        <f t="shared" si="83"/>
        <v>232724.79</v>
      </c>
      <c r="AD32" s="236">
        <f t="shared" si="83"/>
        <v>1416501.0300000201</v>
      </c>
      <c r="AE32" s="241">
        <f t="shared" si="83"/>
        <v>6423403.5300000757</v>
      </c>
      <c r="AF32" s="238">
        <f t="shared" si="83"/>
        <v>0</v>
      </c>
      <c r="AG32" s="236">
        <f t="shared" si="83"/>
        <v>2701618.823523927</v>
      </c>
      <c r="AH32" s="236">
        <f t="shared" si="83"/>
        <v>0</v>
      </c>
      <c r="AI32" s="236">
        <f t="shared" si="83"/>
        <v>2248530.8751719701</v>
      </c>
      <c r="AJ32" s="236">
        <f t="shared" si="83"/>
        <v>0</v>
      </c>
      <c r="AK32" s="236">
        <f t="shared" si="83"/>
        <v>2435452.4105132874</v>
      </c>
      <c r="AL32" s="236">
        <f t="shared" si="83"/>
        <v>0</v>
      </c>
      <c r="AM32" s="236">
        <f t="shared" si="83"/>
        <v>2476695.5766252805</v>
      </c>
      <c r="AN32" s="239">
        <f t="shared" si="83"/>
        <v>9862297.6858344655</v>
      </c>
      <c r="AO32" s="238">
        <f t="shared" si="83"/>
        <v>16285701.215834541</v>
      </c>
      <c r="AP32" s="343">
        <v>12</v>
      </c>
      <c r="AQ32" s="236">
        <f t="shared" ref="AQ32:BI32" si="84">AQ23+AQ30</f>
        <v>23372618.689998191</v>
      </c>
      <c r="AR32" s="236">
        <f t="shared" si="84"/>
        <v>55267424.72000622</v>
      </c>
      <c r="AS32" s="236">
        <f t="shared" si="84"/>
        <v>25005834.309998002</v>
      </c>
      <c r="AT32" s="236">
        <f t="shared" si="84"/>
        <v>58136062.830009133</v>
      </c>
      <c r="AU32" s="236">
        <f t="shared" si="84"/>
        <v>26365615.860000599</v>
      </c>
      <c r="AV32" s="236">
        <f t="shared" si="84"/>
        <v>61461835.75001654</v>
      </c>
      <c r="AW32" s="236">
        <f t="shared" si="84"/>
        <v>28527343.080001201</v>
      </c>
      <c r="AX32" s="236">
        <f t="shared" si="84"/>
        <v>64223220.120019406</v>
      </c>
      <c r="AY32" s="241">
        <f t="shared" si="84"/>
        <v>342359955.36004925</v>
      </c>
      <c r="AZ32" s="238">
        <f t="shared" si="84"/>
        <v>0</v>
      </c>
      <c r="BA32" s="236">
        <f t="shared" si="84"/>
        <v>60307219.449473225</v>
      </c>
      <c r="BB32" s="236">
        <f t="shared" si="84"/>
        <v>0</v>
      </c>
      <c r="BC32" s="236">
        <f t="shared" si="84"/>
        <v>50880427.377166249</v>
      </c>
      <c r="BD32" s="236">
        <f t="shared" si="84"/>
        <v>0</v>
      </c>
      <c r="BE32" s="236">
        <f t="shared" si="84"/>
        <v>58147562.364822581</v>
      </c>
      <c r="BF32" s="236">
        <f t="shared" si="84"/>
        <v>0</v>
      </c>
      <c r="BG32" s="236">
        <f t="shared" si="84"/>
        <v>58942755.039723471</v>
      </c>
      <c r="BH32" s="239">
        <f t="shared" si="84"/>
        <v>228277964.23118553</v>
      </c>
      <c r="BI32" s="238">
        <f t="shared" si="84"/>
        <v>570637919.5912348</v>
      </c>
      <c r="BJ32" s="343">
        <v>12</v>
      </c>
      <c r="BK32" s="236">
        <f t="shared" ref="BK32:CC32" si="85">BK23+BK30</f>
        <v>562055.68667072407</v>
      </c>
      <c r="BL32" s="236">
        <f t="shared" si="85"/>
        <v>6323386.6633294364</v>
      </c>
      <c r="BM32" s="236">
        <f t="shared" si="85"/>
        <v>577977.81173893786</v>
      </c>
      <c r="BN32" s="236">
        <f t="shared" si="85"/>
        <v>6196430.3882610602</v>
      </c>
      <c r="BO32" s="236">
        <f t="shared" si="85"/>
        <v>549694.34724479821</v>
      </c>
      <c r="BP32" s="236">
        <f t="shared" si="85"/>
        <v>6053059.5927552031</v>
      </c>
      <c r="BQ32" s="236">
        <f t="shared" si="85"/>
        <v>801531.50561570027</v>
      </c>
      <c r="BR32" s="236">
        <f t="shared" si="85"/>
        <v>7637929.4343844615</v>
      </c>
      <c r="BS32" s="241">
        <f t="shared" si="85"/>
        <v>28702065.43000032</v>
      </c>
      <c r="BT32" s="238">
        <f t="shared" si="85"/>
        <v>0</v>
      </c>
      <c r="BU32" s="236">
        <f t="shared" si="85"/>
        <v>2316142.9670795291</v>
      </c>
      <c r="BV32" s="236">
        <f t="shared" si="85"/>
        <v>0</v>
      </c>
      <c r="BW32" s="236">
        <f t="shared" si="85"/>
        <v>2057093.0934453851</v>
      </c>
      <c r="BX32" s="236">
        <f t="shared" si="85"/>
        <v>0</v>
      </c>
      <c r="BY32" s="236">
        <f t="shared" si="85"/>
        <v>2098884.6295221928</v>
      </c>
      <c r="BZ32" s="236">
        <f t="shared" si="85"/>
        <v>0</v>
      </c>
      <c r="CA32" s="236">
        <f t="shared" si="85"/>
        <v>2369339.4331637952</v>
      </c>
      <c r="CB32" s="239">
        <f t="shared" si="85"/>
        <v>8841460.1232109014</v>
      </c>
      <c r="CC32" s="238">
        <f t="shared" si="85"/>
        <v>37543525.553211212</v>
      </c>
      <c r="CD32" s="343">
        <v>12</v>
      </c>
      <c r="CE32" s="239">
        <f t="shared" ref="CE32:CH32" si="86">CE23+CE30</f>
        <v>91214305.100004867</v>
      </c>
      <c r="CF32" s="239">
        <f t="shared" si="86"/>
        <v>95666318.830007449</v>
      </c>
      <c r="CG32" s="239">
        <f t="shared" si="86"/>
        <v>100360135.96001747</v>
      </c>
      <c r="CH32" s="239">
        <f t="shared" si="86"/>
        <v>107299178.1700211</v>
      </c>
      <c r="CI32" s="236">
        <f>SUM(BS32,AY32,AE32,K32)</f>
        <v>394539938.06005085</v>
      </c>
      <c r="CJ32" s="239">
        <f t="shared" ref="CJ32:CM32" si="87">CJ23+CJ30</f>
        <v>72991075.548602268</v>
      </c>
      <c r="CK32" s="239">
        <f t="shared" si="87"/>
        <v>62256572.073320545</v>
      </c>
      <c r="CL32" s="239">
        <f t="shared" si="87"/>
        <v>70625123.113815218</v>
      </c>
      <c r="CM32" s="239">
        <f t="shared" si="87"/>
        <v>71901969.295182198</v>
      </c>
      <c r="CN32" s="236">
        <f>SUM(BX32,BD32,AJ32,P32)</f>
        <v>0</v>
      </c>
      <c r="CO32" s="239">
        <f t="shared" ref="CO32:CR32" si="88">CO23+CO30</f>
        <v>164205380.64860708</v>
      </c>
      <c r="CP32" s="239">
        <f t="shared" si="88"/>
        <v>157922890.903328</v>
      </c>
      <c r="CQ32" s="239">
        <f t="shared" si="88"/>
        <v>170985259.07383269</v>
      </c>
      <c r="CR32" s="239">
        <f t="shared" si="88"/>
        <v>179201147.46520332</v>
      </c>
      <c r="CS32" s="236">
        <f>SUM(CC32,BI32,AO32,U32)</f>
        <v>672314678.09097099</v>
      </c>
      <c r="CU32" s="809"/>
    </row>
    <row r="33" spans="1:101" ht="15.75" customHeight="1" x14ac:dyDescent="0.25">
      <c r="A33" s="149"/>
      <c r="B33" s="213"/>
      <c r="C33" s="112"/>
      <c r="D33" s="112"/>
      <c r="E33" s="112"/>
      <c r="F33" s="112"/>
      <c r="G33" s="112"/>
      <c r="H33" s="112"/>
      <c r="I33" s="112"/>
      <c r="J33" s="112"/>
      <c r="K33" s="423"/>
      <c r="L33" s="424"/>
      <c r="M33" s="112"/>
      <c r="N33" s="112"/>
      <c r="O33" s="112"/>
      <c r="P33" s="112"/>
      <c r="Q33" s="112"/>
      <c r="R33" s="112"/>
      <c r="S33" s="112"/>
      <c r="T33" s="112"/>
      <c r="U33" s="425"/>
      <c r="V33" s="213"/>
      <c r="W33" s="112"/>
      <c r="X33" s="112"/>
      <c r="Y33" s="112"/>
      <c r="Z33" s="112"/>
      <c r="AA33" s="112"/>
      <c r="AB33" s="112"/>
      <c r="AC33" s="112"/>
      <c r="AD33" s="112"/>
      <c r="AE33" s="423"/>
      <c r="AF33" s="424"/>
      <c r="AG33" s="112"/>
      <c r="AH33" s="112"/>
      <c r="AI33" s="112"/>
      <c r="AJ33" s="112"/>
      <c r="AK33" s="112"/>
      <c r="AL33" s="112"/>
      <c r="AM33" s="112"/>
      <c r="AN33" s="112"/>
      <c r="AO33" s="425"/>
      <c r="AP33" s="213"/>
      <c r="AQ33" s="112"/>
      <c r="AR33" s="112"/>
      <c r="AS33" s="112"/>
      <c r="AT33" s="112"/>
      <c r="AU33" s="112"/>
      <c r="AV33" s="112"/>
      <c r="AW33" s="112"/>
      <c r="AX33" s="112"/>
      <c r="AY33" s="423"/>
      <c r="AZ33" s="424"/>
      <c r="BA33" s="112"/>
      <c r="BB33" s="112"/>
      <c r="BC33" s="112"/>
      <c r="BD33" s="112"/>
      <c r="BE33" s="112"/>
      <c r="BF33" s="112"/>
      <c r="BG33" s="112"/>
      <c r="BH33" s="112"/>
      <c r="BI33" s="425"/>
      <c r="BJ33" s="213"/>
      <c r="BK33" s="112"/>
      <c r="BL33" s="112"/>
      <c r="BM33" s="112"/>
      <c r="BN33" s="112"/>
      <c r="BO33" s="112"/>
      <c r="BP33" s="112"/>
      <c r="BQ33" s="112"/>
      <c r="BR33" s="112"/>
      <c r="BS33" s="423"/>
      <c r="BT33" s="424"/>
      <c r="BU33" s="112"/>
      <c r="BV33" s="112"/>
      <c r="BW33" s="112"/>
      <c r="BX33" s="112"/>
      <c r="BY33" s="112"/>
      <c r="BZ33" s="112"/>
      <c r="CA33" s="112"/>
      <c r="CB33" s="112"/>
      <c r="CC33" s="425"/>
      <c r="CD33" s="213"/>
      <c r="CE33" s="198"/>
      <c r="CF33" s="198"/>
      <c r="CG33" s="198"/>
      <c r="CH33" s="198"/>
      <c r="CI33" s="467"/>
      <c r="CJ33" s="198"/>
      <c r="CK33" s="198"/>
      <c r="CL33" s="198"/>
      <c r="CM33" s="198"/>
      <c r="CN33" s="467"/>
      <c r="CO33" s="198"/>
      <c r="CP33" s="198"/>
      <c r="CQ33" s="198"/>
      <c r="CR33" s="198"/>
      <c r="CS33" s="467"/>
      <c r="CU33" s="810"/>
    </row>
    <row r="34" spans="1:101" ht="15.75" customHeight="1" x14ac:dyDescent="0.25">
      <c r="A34" s="19" t="s">
        <v>327</v>
      </c>
      <c r="B34" s="213"/>
      <c r="C34" s="198"/>
      <c r="D34" s="198"/>
      <c r="E34" s="198"/>
      <c r="F34" s="198"/>
      <c r="G34" s="198"/>
      <c r="H34" s="198"/>
      <c r="I34" s="198"/>
      <c r="J34" s="198"/>
      <c r="K34" s="429"/>
      <c r="L34" s="430"/>
      <c r="M34" s="198"/>
      <c r="N34" s="198"/>
      <c r="O34" s="198"/>
      <c r="P34" s="198"/>
      <c r="Q34" s="198"/>
      <c r="R34" s="198"/>
      <c r="S34" s="198"/>
      <c r="T34" s="198"/>
      <c r="U34" s="431"/>
      <c r="V34" s="213"/>
      <c r="W34" s="198"/>
      <c r="X34" s="198"/>
      <c r="Y34" s="198"/>
      <c r="Z34" s="198"/>
      <c r="AA34" s="198"/>
      <c r="AB34" s="198"/>
      <c r="AC34" s="198"/>
      <c r="AD34" s="198"/>
      <c r="AE34" s="429"/>
      <c r="AF34" s="430"/>
      <c r="AG34" s="198"/>
      <c r="AH34" s="198"/>
      <c r="AI34" s="198"/>
      <c r="AJ34" s="198"/>
      <c r="AK34" s="198"/>
      <c r="AL34" s="198"/>
      <c r="AM34" s="198"/>
      <c r="AN34" s="198"/>
      <c r="AO34" s="431"/>
      <c r="AP34" s="213"/>
      <c r="AQ34" s="198"/>
      <c r="AR34" s="198"/>
      <c r="AS34" s="198"/>
      <c r="AT34" s="198"/>
      <c r="AU34" s="198"/>
      <c r="AV34" s="198"/>
      <c r="AW34" s="198"/>
      <c r="AX34" s="198"/>
      <c r="AY34" s="429"/>
      <c r="AZ34" s="430"/>
      <c r="BA34" s="198"/>
      <c r="BB34" s="198"/>
      <c r="BC34" s="198"/>
      <c r="BD34" s="198"/>
      <c r="BE34" s="198"/>
      <c r="BF34" s="198"/>
      <c r="BG34" s="198"/>
      <c r="BH34" s="198"/>
      <c r="BI34" s="431"/>
      <c r="BJ34" s="213"/>
      <c r="BK34" s="198"/>
      <c r="BL34" s="198"/>
      <c r="BM34" s="198"/>
      <c r="BN34" s="198"/>
      <c r="BO34" s="198"/>
      <c r="BP34" s="198"/>
      <c r="BQ34" s="198"/>
      <c r="BR34" s="198"/>
      <c r="BS34" s="429"/>
      <c r="BT34" s="430"/>
      <c r="BU34" s="198"/>
      <c r="BV34" s="198"/>
      <c r="BW34" s="198"/>
      <c r="BX34" s="198"/>
      <c r="BY34" s="198"/>
      <c r="BZ34" s="198"/>
      <c r="CA34" s="198"/>
      <c r="CB34" s="198"/>
      <c r="CC34" s="431"/>
      <c r="CD34" s="213"/>
      <c r="CE34" s="198"/>
      <c r="CF34" s="198"/>
      <c r="CG34" s="198"/>
      <c r="CH34" s="198"/>
      <c r="CI34" s="467"/>
      <c r="CJ34" s="198"/>
      <c r="CK34" s="198"/>
      <c r="CL34" s="198"/>
      <c r="CM34" s="198"/>
      <c r="CN34" s="467"/>
      <c r="CO34" s="198"/>
      <c r="CP34" s="198"/>
      <c r="CQ34" s="198"/>
      <c r="CR34" s="198"/>
      <c r="CS34" s="467"/>
    </row>
    <row r="35" spans="1:101" ht="15.75" customHeight="1" x14ac:dyDescent="0.25">
      <c r="A35" s="94" t="s">
        <v>281</v>
      </c>
      <c r="B35" s="343">
        <v>13</v>
      </c>
      <c r="C35" s="671">
        <f>SUM('Schedule 3B_Income_Eastern:Schedule 3D_Income_The Cape'!C35)</f>
        <v>56761.639999999941</v>
      </c>
      <c r="D35" s="671">
        <f>SUM('Schedule 3B_Income_Eastern:Schedule 3D_Income_The Cape'!D35)</f>
        <v>85103.999999999898</v>
      </c>
      <c r="E35" s="671">
        <f>SUM('Schedule 3B_Income_Eastern:Schedule 3D_Income_The Cape'!E35)</f>
        <v>390669.65108884976</v>
      </c>
      <c r="F35" s="671">
        <f>SUM('Schedule 3B_Income_Eastern:Schedule 3D_Income_The Cape'!F35)</f>
        <v>228674.92742584943</v>
      </c>
      <c r="G35" s="671">
        <f>SUM('Schedule 3B_Income_Eastern:Schedule 3D_Income_The Cape'!G35)</f>
        <v>364132.68221989262</v>
      </c>
      <c r="H35" s="671">
        <f>SUM('Schedule 3B_Income_Eastern:Schedule 3D_Income_The Cape'!H35)</f>
        <v>185128.8785685394</v>
      </c>
      <c r="I35" s="671">
        <f>SUM('Schedule 3B_Income_Eastern:Schedule 3D_Income_The Cape'!I35)</f>
        <v>487262.97861119983</v>
      </c>
      <c r="J35" s="671">
        <f>SUM('Schedule 3B_Income_Eastern:Schedule 3D_Income_The Cape'!J35)</f>
        <v>137140.55764128879</v>
      </c>
      <c r="K35" s="672">
        <f t="shared" ref="K35:K63" si="89">SUM(C35:J35)</f>
        <v>1934875.3155556198</v>
      </c>
      <c r="L35" s="673">
        <f>SUM('Schedule 3B_Income_Eastern:Schedule 3D_Income_The Cape'!L35)</f>
        <v>0</v>
      </c>
      <c r="M35" s="671">
        <f>SUM('Schedule 3B_Income_Eastern:Schedule 3D_Income_The Cape'!M35)</f>
        <v>951157.7999999997</v>
      </c>
      <c r="N35" s="671">
        <f>SUM('Schedule 3B_Income_Eastern:Schedule 3D_Income_The Cape'!N35)</f>
        <v>0</v>
      </c>
      <c r="O35" s="671">
        <f>SUM('Schedule 3B_Income_Eastern:Schedule 3D_Income_The Cape'!O35)</f>
        <v>3392533.0317050111</v>
      </c>
      <c r="P35" s="671">
        <f>SUM('Schedule 3B_Income_Eastern:Schedule 3D_Income_The Cape'!P35)</f>
        <v>0</v>
      </c>
      <c r="Q35" s="671">
        <f>SUM('Schedule 3B_Income_Eastern:Schedule 3D_Income_The Cape'!Q35)</f>
        <v>3241194.1022719932</v>
      </c>
      <c r="R35" s="671">
        <f>SUM('Schedule 3B_Income_Eastern:Schedule 3D_Income_The Cape'!R35)</f>
        <v>0</v>
      </c>
      <c r="S35" s="671">
        <f>SUM('Schedule 3B_Income_Eastern:Schedule 3D_Income_The Cape'!S35)</f>
        <v>2905729.3328334829</v>
      </c>
      <c r="T35" s="674">
        <f t="shared" ref="T35:T63" si="90">SUM(L35:S35)</f>
        <v>10490614.266810488</v>
      </c>
      <c r="U35" s="675">
        <f t="shared" ref="U35:U63" si="91">SUM(T35,K35)</f>
        <v>12425489.582366107</v>
      </c>
      <c r="V35" s="343">
        <v>13</v>
      </c>
      <c r="W35" s="671">
        <f>SUM('Schedule 3B_Income_Eastern:Schedule 3D_Income_The Cape'!W35)</f>
        <v>0</v>
      </c>
      <c r="X35" s="671">
        <f>SUM('Schedule 3B_Income_Eastern:Schedule 3D_Income_The Cape'!X35)</f>
        <v>23187.999999999978</v>
      </c>
      <c r="Y35" s="671">
        <f>SUM('Schedule 3B_Income_Eastern:Schedule 3D_Income_The Cape'!Y35)</f>
        <v>0</v>
      </c>
      <c r="Z35" s="671">
        <f>SUM('Schedule 3B_Income_Eastern:Schedule 3D_Income_The Cape'!Z35)</f>
        <v>11762.93670099388</v>
      </c>
      <c r="AA35" s="671">
        <f>SUM('Schedule 3B_Income_Eastern:Schedule 3D_Income_The Cape'!AA35)</f>
        <v>0</v>
      </c>
      <c r="AB35" s="671">
        <f>SUM('Schedule 3B_Income_Eastern:Schedule 3D_Income_The Cape'!AB35)</f>
        <v>18037.7961342628</v>
      </c>
      <c r="AC35" s="671">
        <f>SUM('Schedule 3B_Income_Eastern:Schedule 3D_Income_The Cape'!AC35)</f>
        <v>20610.057973781375</v>
      </c>
      <c r="AD35" s="671">
        <f>SUM('Schedule 3B_Income_Eastern:Schedule 3D_Income_The Cape'!AD35)</f>
        <v>19690.51379479322</v>
      </c>
      <c r="AE35" s="672">
        <f t="shared" ref="AE35:AE63" si="92">SUM(W35:AD35)</f>
        <v>93289.30460383126</v>
      </c>
      <c r="AF35" s="673">
        <f>SUM('Schedule 3B_Income_Eastern:Schedule 3D_Income_The Cape'!AF35)</f>
        <v>0</v>
      </c>
      <c r="AG35" s="671">
        <f>SUM('Schedule 3B_Income_Eastern:Schedule 3D_Income_The Cape'!AG35)</f>
        <v>363912.5799999999</v>
      </c>
      <c r="AH35" s="671">
        <f>SUM('Schedule 3B_Income_Eastern:Schedule 3D_Income_The Cape'!AH35)</f>
        <v>0</v>
      </c>
      <c r="AI35" s="671">
        <f>SUM('Schedule 3B_Income_Eastern:Schedule 3D_Income_The Cape'!AI35)</f>
        <v>162394.66237655899</v>
      </c>
      <c r="AJ35" s="671">
        <f>SUM('Schedule 3B_Income_Eastern:Schedule 3D_Income_The Cape'!AJ35)</f>
        <v>0</v>
      </c>
      <c r="AK35" s="671">
        <f>SUM('Schedule 3B_Income_Eastern:Schedule 3D_Income_The Cape'!AK35)</f>
        <v>284445.45735516585</v>
      </c>
      <c r="AL35" s="671">
        <f>SUM('Schedule 3B_Income_Eastern:Schedule 3D_Income_The Cape'!AL35)</f>
        <v>0</v>
      </c>
      <c r="AM35" s="671">
        <f>SUM('Schedule 3B_Income_Eastern:Schedule 3D_Income_The Cape'!AM35)</f>
        <v>358541.33754014311</v>
      </c>
      <c r="AN35" s="674">
        <f t="shared" ref="AN35:AN63" si="93">SUM(AF35:AM35)</f>
        <v>1169294.037271868</v>
      </c>
      <c r="AO35" s="675">
        <f t="shared" ref="AO35:AO63" si="94">SUM(AN35,AE35)</f>
        <v>1262583.3418756993</v>
      </c>
      <c r="AP35" s="343">
        <v>13</v>
      </c>
      <c r="AQ35" s="671">
        <f>SUM('Schedule 3B_Income_Eastern:Schedule 3D_Income_The Cape'!AQ35)</f>
        <v>2120911.3499999968</v>
      </c>
      <c r="AR35" s="671">
        <f>SUM('Schedule 3B_Income_Eastern:Schedule 3D_Income_The Cape'!AR35)</f>
        <v>738602.00999999931</v>
      </c>
      <c r="AS35" s="671">
        <f>SUM('Schedule 3B_Income_Eastern:Schedule 3D_Income_The Cape'!AS35)</f>
        <v>929972.94247655431</v>
      </c>
      <c r="AT35" s="671">
        <f>SUM('Schedule 3B_Income_Eastern:Schedule 3D_Income_The Cape'!AT35)</f>
        <v>662954.93643251597</v>
      </c>
      <c r="AU35" s="671">
        <f>SUM('Schedule 3B_Income_Eastern:Schedule 3D_Income_The Cape'!AU35)</f>
        <v>1560044.5300276524</v>
      </c>
      <c r="AV35" s="671">
        <f>SUM('Schedule 3B_Income_Eastern:Schedule 3D_Income_The Cape'!AV35)</f>
        <v>546808.1061669261</v>
      </c>
      <c r="AW35" s="671">
        <f>SUM('Schedule 3B_Income_Eastern:Schedule 3D_Income_The Cape'!AW35)</f>
        <v>2155458.2380725155</v>
      </c>
      <c r="AX35" s="671">
        <f>SUM('Schedule 3B_Income_Eastern:Schedule 3D_Income_The Cape'!AX35)</f>
        <v>460714.33648155682</v>
      </c>
      <c r="AY35" s="672">
        <f t="shared" ref="AY35:AY63" si="95">SUM(AQ35:AX35)</f>
        <v>9175466.4496577159</v>
      </c>
      <c r="AZ35" s="673">
        <f>SUM('Schedule 3B_Income_Eastern:Schedule 3D_Income_The Cape'!AZ35)</f>
        <v>0</v>
      </c>
      <c r="BA35" s="671">
        <f>SUM('Schedule 3B_Income_Eastern:Schedule 3D_Income_The Cape'!BA35)</f>
        <v>10094810.879999995</v>
      </c>
      <c r="BB35" s="671">
        <f>SUM('Schedule 3B_Income_Eastern:Schedule 3D_Income_The Cape'!BB35)</f>
        <v>0</v>
      </c>
      <c r="BC35" s="671">
        <f>SUM('Schedule 3B_Income_Eastern:Schedule 3D_Income_The Cape'!BC35)</f>
        <v>8549426.9428771287</v>
      </c>
      <c r="BD35" s="671">
        <f>SUM('Schedule 3B_Income_Eastern:Schedule 3D_Income_The Cape'!BD35)</f>
        <v>0</v>
      </c>
      <c r="BE35" s="671">
        <f>SUM('Schedule 3B_Income_Eastern:Schedule 3D_Income_The Cape'!BE35)</f>
        <v>9354096.0494282898</v>
      </c>
      <c r="BF35" s="671">
        <f>SUM('Schedule 3B_Income_Eastern:Schedule 3D_Income_The Cape'!BF35)</f>
        <v>0</v>
      </c>
      <c r="BG35" s="671">
        <f>SUM('Schedule 3B_Income_Eastern:Schedule 3D_Income_The Cape'!BG35)</f>
        <v>9390590.0703414138</v>
      </c>
      <c r="BH35" s="674">
        <f t="shared" ref="BH35:BH63" si="96">SUM(AZ35:BG35)</f>
        <v>37388923.942646831</v>
      </c>
      <c r="BI35" s="675">
        <f t="shared" ref="BI35:BI63" si="97">SUM(BH35,AY35)</f>
        <v>46564390.392304547</v>
      </c>
      <c r="BJ35" s="343">
        <v>13</v>
      </c>
      <c r="BK35" s="671">
        <f>SUM('Schedule 3B_Income_Eastern:Schedule 3D_Income_The Cape'!BK35)</f>
        <v>72377.449999999939</v>
      </c>
      <c r="BL35" s="671">
        <f>SUM('Schedule 3B_Income_Eastern:Schedule 3D_Income_The Cape'!BL35)</f>
        <v>56995.999999999942</v>
      </c>
      <c r="BM35" s="671">
        <f>SUM('Schedule 3B_Income_Eastern:Schedule 3D_Income_The Cape'!BM35)</f>
        <v>48148.691199114575</v>
      </c>
      <c r="BN35" s="671">
        <f>SUM('Schedule 3B_Income_Eastern:Schedule 3D_Income_The Cape'!BN35)</f>
        <v>49058.306058543014</v>
      </c>
      <c r="BO35" s="671">
        <f>SUM('Schedule 3B_Income_Eastern:Schedule 3D_Income_The Cape'!BO35)</f>
        <v>8274.8568008189213</v>
      </c>
      <c r="BP35" s="671">
        <f>SUM('Schedule 3B_Income_Eastern:Schedule 3D_Income_The Cape'!BP35)</f>
        <v>30490.471231560943</v>
      </c>
      <c r="BQ35" s="671">
        <f>SUM('Schedule 3B_Income_Eastern:Schedule 3D_Income_The Cape'!BQ35)</f>
        <v>60766.912317834533</v>
      </c>
      <c r="BR35" s="671">
        <f>SUM('Schedule 3B_Income_Eastern:Schedule 3D_Income_The Cape'!BR35)</f>
        <v>29660.16358264591</v>
      </c>
      <c r="BS35" s="672">
        <f t="shared" ref="BS35:BS63" si="98">SUM(BK35:BR35)</f>
        <v>355772.85119051777</v>
      </c>
      <c r="BT35" s="673">
        <f>SUM('Schedule 3B_Income_Eastern:Schedule 3D_Income_The Cape'!BT35)</f>
        <v>0</v>
      </c>
      <c r="BU35" s="671">
        <f>SUM('Schedule 3B_Income_Eastern:Schedule 3D_Income_The Cape'!BU35)</f>
        <v>745353.86999999988</v>
      </c>
      <c r="BV35" s="671">
        <f>SUM('Schedule 3B_Income_Eastern:Schedule 3D_Income_The Cape'!BV35)</f>
        <v>0</v>
      </c>
      <c r="BW35" s="671">
        <f>SUM('Schedule 3B_Income_Eastern:Schedule 3D_Income_The Cape'!BW35)</f>
        <v>776012.06317633903</v>
      </c>
      <c r="BX35" s="671">
        <f>SUM('Schedule 3B_Income_Eastern:Schedule 3D_Income_The Cape'!BX35)</f>
        <v>0</v>
      </c>
      <c r="BY35" s="671">
        <f>SUM('Schedule 3B_Income_Eastern:Schedule 3D_Income_The Cape'!BY35)</f>
        <v>572497.64316991263</v>
      </c>
      <c r="BZ35" s="671">
        <f>SUM('Schedule 3B_Income_Eastern:Schedule 3D_Income_The Cape'!BZ35)</f>
        <v>0</v>
      </c>
      <c r="CA35" s="671">
        <f>SUM('Schedule 3B_Income_Eastern:Schedule 3D_Income_The Cape'!CA35)</f>
        <v>982586.61395144393</v>
      </c>
      <c r="CB35" s="674">
        <f t="shared" ref="CB35:CB63" si="99">SUM(BT35:CA35)</f>
        <v>3076450.1902976958</v>
      </c>
      <c r="CC35" s="675">
        <f t="shared" ref="CC35:CC63" si="100">SUM(CB35,BS35)</f>
        <v>3432223.0414882135</v>
      </c>
      <c r="CD35" s="343">
        <v>13</v>
      </c>
      <c r="CE35" s="462">
        <f t="shared" ref="CE35:CE64" si="101">+C35+D35+W35+X35+AQ35+AR35+BK35+BL35</f>
        <v>3153940.4499999955</v>
      </c>
      <c r="CF35" s="462">
        <f t="shared" ref="CF35:CF64" si="102">+E35+F35+Y35+Z35+AS35+AT35+BM35+BN35</f>
        <v>2321242.3913824204</v>
      </c>
      <c r="CG35" s="462">
        <f t="shared" ref="CG35:CG64" si="103">+G35+H35+AA35+AB35+AU35+AV35+BO35+BP35</f>
        <v>2712917.3211496533</v>
      </c>
      <c r="CH35" s="462">
        <f t="shared" ref="CH35:CH64" si="104">+I35+J35+AC35+AD35+AW35+AX35+BQ35+BR35</f>
        <v>3371303.7584756156</v>
      </c>
      <c r="CI35" s="464">
        <f t="shared" ref="CI35:CI64" si="105">SUM(K35,AE35,AY35,BS35)</f>
        <v>11559403.921007685</v>
      </c>
      <c r="CJ35" s="462">
        <f t="shared" ref="CJ35:CJ64" si="106">L35+M35+AF35+AG35+AZ35+BA35+BT35+BU35</f>
        <v>12155235.129999993</v>
      </c>
      <c r="CK35" s="462">
        <f t="shared" ref="CK35:CK64" si="107">N35+O35+AH35+AI35+BB35+BC35+BV35+BW35</f>
        <v>12880366.700135039</v>
      </c>
      <c r="CL35" s="462">
        <f t="shared" ref="CL35:CL64" si="108">P35+Q35+AJ35+AK35+BD35+BE35+BX35+BY35</f>
        <v>13452233.252225362</v>
      </c>
      <c r="CM35" s="462">
        <f t="shared" ref="CM35:CM64" si="109">+R35+S35+AL35+AM35+BF35+BG35+BZ35+CA35</f>
        <v>13637447.354666485</v>
      </c>
      <c r="CN35" s="464">
        <f t="shared" ref="CN35:CN64" si="110">SUM(T35,AN35,BH35,CB35)</f>
        <v>52125282.437026881</v>
      </c>
      <c r="CO35" s="462">
        <f t="shared" ref="CO35:CO64" si="111">+C35+D35+L35+M35+W35+X35+AF35+AG35+AQ35+AR35+AZ35+BA35+BK35+BL35+BT35+BU35</f>
        <v>15309175.579999989</v>
      </c>
      <c r="CP35" s="462">
        <f t="shared" ref="CP35:CP64" si="112">+E35+F35+N35+O35+Y35+Z35+AH35+AI35+AS35+AT35+BB35+BC35+BM35+BN35+BV35+BW35</f>
        <v>15201609.09151746</v>
      </c>
      <c r="CQ35" s="462">
        <f t="shared" ref="CQ35:CQ64" si="113">+G35+H35+P35+Q35+AA35+AB35+AJ35+AK35+AU35+AV35+BD35+BE35+BO35+BP35+BX35+BY35</f>
        <v>16165150.573375015</v>
      </c>
      <c r="CR35" s="462">
        <f t="shared" ref="CR35:CR64" si="114">+I35+J35+R35+S35+AC35+AD35+AL35+AM35+AW35+AX35+BF35+BG35+BQ35+BR35+BZ35+CA35</f>
        <v>17008751.113142099</v>
      </c>
      <c r="CS35" s="464">
        <f t="shared" ref="CS35:CS64" si="115">SUM(CC35,BI35,AO35,U35)</f>
        <v>63684686.358034573</v>
      </c>
      <c r="CU35" s="362"/>
      <c r="CV35" s="810"/>
      <c r="CW35" s="808"/>
    </row>
    <row r="36" spans="1:101" ht="15.75" customHeight="1" x14ac:dyDescent="0.25">
      <c r="A36" s="94" t="s">
        <v>282</v>
      </c>
      <c r="B36" s="343">
        <v>14</v>
      </c>
      <c r="C36" s="671">
        <f>SUM('Schedule 3B_Income_Eastern:Schedule 3D_Income_The Cape'!C36)</f>
        <v>0</v>
      </c>
      <c r="D36" s="671">
        <f>SUM('Schedule 3B_Income_Eastern:Schedule 3D_Income_The Cape'!D36)</f>
        <v>10083.999999999989</v>
      </c>
      <c r="E36" s="671">
        <f>SUM('Schedule 3B_Income_Eastern:Schedule 3D_Income_The Cape'!E36)</f>
        <v>30056.454445375151</v>
      </c>
      <c r="F36" s="671">
        <f>SUM('Schedule 3B_Income_Eastern:Schedule 3D_Income_The Cape'!F36)</f>
        <v>13057.361690449439</v>
      </c>
      <c r="G36" s="671">
        <f>SUM('Schedule 3B_Income_Eastern:Schedule 3D_Income_The Cape'!G36)</f>
        <v>9654.1614876509484</v>
      </c>
      <c r="H36" s="671">
        <f>SUM('Schedule 3B_Income_Eastern:Schedule 3D_Income_The Cape'!H36)</f>
        <v>9805.3269447153089</v>
      </c>
      <c r="I36" s="671">
        <f>SUM('Schedule 3B_Income_Eastern:Schedule 3D_Income_The Cape'!I36)</f>
        <v>11309.055162488701</v>
      </c>
      <c r="J36" s="671">
        <f>SUM('Schedule 3B_Income_Eastern:Schedule 3D_Income_The Cape'!J36)</f>
        <v>3404.8582279023462</v>
      </c>
      <c r="K36" s="672">
        <f t="shared" si="89"/>
        <v>87371.217958581881</v>
      </c>
      <c r="L36" s="673">
        <f>SUM('Schedule 3B_Income_Eastern:Schedule 3D_Income_The Cape'!L36)</f>
        <v>0</v>
      </c>
      <c r="M36" s="671">
        <f>SUM('Schedule 3B_Income_Eastern:Schedule 3D_Income_The Cape'!M36)</f>
        <v>138440.92000000001</v>
      </c>
      <c r="N36" s="671">
        <f>SUM('Schedule 3B_Income_Eastern:Schedule 3D_Income_The Cape'!N36)</f>
        <v>0</v>
      </c>
      <c r="O36" s="671">
        <f>SUM('Schedule 3B_Income_Eastern:Schedule 3D_Income_The Cape'!O36)</f>
        <v>162064.67335580022</v>
      </c>
      <c r="P36" s="671">
        <f>SUM('Schedule 3B_Income_Eastern:Schedule 3D_Income_The Cape'!P36)</f>
        <v>0</v>
      </c>
      <c r="Q36" s="671">
        <f>SUM('Schedule 3B_Income_Eastern:Schedule 3D_Income_The Cape'!Q36)</f>
        <v>146399.88001925132</v>
      </c>
      <c r="R36" s="671">
        <f>SUM('Schedule 3B_Income_Eastern:Schedule 3D_Income_The Cape'!R36)</f>
        <v>0</v>
      </c>
      <c r="S36" s="671">
        <f>SUM('Schedule 3B_Income_Eastern:Schedule 3D_Income_The Cape'!S36)</f>
        <v>159745.82633301642</v>
      </c>
      <c r="T36" s="674">
        <f t="shared" si="90"/>
        <v>606651.29970806802</v>
      </c>
      <c r="U36" s="675">
        <f t="shared" si="91"/>
        <v>694022.51766664989</v>
      </c>
      <c r="V36" s="343">
        <v>14</v>
      </c>
      <c r="W36" s="671">
        <f>SUM('Schedule 3B_Income_Eastern:Schedule 3D_Income_The Cape'!W36)</f>
        <v>0</v>
      </c>
      <c r="X36" s="671">
        <f>SUM('Schedule 3B_Income_Eastern:Schedule 3D_Income_The Cape'!X36)</f>
        <v>4359.9999999999955</v>
      </c>
      <c r="Y36" s="671">
        <f>SUM('Schedule 3B_Income_Eastern:Schedule 3D_Income_The Cape'!Y36)</f>
        <v>1704.4477487884701</v>
      </c>
      <c r="Z36" s="671">
        <f>SUM('Schedule 3B_Income_Eastern:Schedule 3D_Income_The Cape'!Z36)</f>
        <v>8160.8510565309007</v>
      </c>
      <c r="AA36" s="671">
        <f>SUM('Schedule 3B_Income_Eastern:Schedule 3D_Income_The Cape'!AA36)</f>
        <v>0</v>
      </c>
      <c r="AB36" s="671">
        <f>SUM('Schedule 3B_Income_Eastern:Schedule 3D_Income_The Cape'!AB36)</f>
        <v>1634.2211574525516</v>
      </c>
      <c r="AC36" s="671">
        <f>SUM('Schedule 3B_Income_Eastern:Schedule 3D_Income_The Cape'!AC36)</f>
        <v>0</v>
      </c>
      <c r="AD36" s="671">
        <f>SUM('Schedule 3B_Income_Eastern:Schedule 3D_Income_The Cape'!AD36)</f>
        <v>1640.8761495661015</v>
      </c>
      <c r="AE36" s="672">
        <f t="shared" si="92"/>
        <v>17500.396112338018</v>
      </c>
      <c r="AF36" s="673">
        <f>SUM('Schedule 3B_Income_Eastern:Schedule 3D_Income_The Cape'!AF36)</f>
        <v>0</v>
      </c>
      <c r="AG36" s="671">
        <f>SUM('Schedule 3B_Income_Eastern:Schedule 3D_Income_The Cape'!AG36)</f>
        <v>151383.70000000001</v>
      </c>
      <c r="AH36" s="671">
        <f>SUM('Schedule 3B_Income_Eastern:Schedule 3D_Income_The Cape'!AH36)</f>
        <v>0</v>
      </c>
      <c r="AI36" s="671">
        <f>SUM('Schedule 3B_Income_Eastern:Schedule 3D_Income_The Cape'!AI36)</f>
        <v>93462.378401063761</v>
      </c>
      <c r="AJ36" s="671">
        <f>SUM('Schedule 3B_Income_Eastern:Schedule 3D_Income_The Cape'!AJ36)</f>
        <v>0</v>
      </c>
      <c r="AK36" s="671">
        <f>SUM('Schedule 3B_Income_Eastern:Schedule 3D_Income_The Cape'!AK36)</f>
        <v>8040.4966243392591</v>
      </c>
      <c r="AL36" s="671">
        <f>SUM('Schedule 3B_Income_Eastern:Schedule 3D_Income_The Cape'!AL36)</f>
        <v>0</v>
      </c>
      <c r="AM36" s="671">
        <f>SUM('Schedule 3B_Income_Eastern:Schedule 3D_Income_The Cape'!AM36)</f>
        <v>49791.338630156075</v>
      </c>
      <c r="AN36" s="674">
        <f t="shared" si="93"/>
        <v>302677.91365555912</v>
      </c>
      <c r="AO36" s="675">
        <f t="shared" si="94"/>
        <v>320178.30976789712</v>
      </c>
      <c r="AP36" s="343">
        <v>14</v>
      </c>
      <c r="AQ36" s="671">
        <f>SUM('Schedule 3B_Income_Eastern:Schedule 3D_Income_The Cape'!AQ36)</f>
        <v>0</v>
      </c>
      <c r="AR36" s="671">
        <f>SUM('Schedule 3B_Income_Eastern:Schedule 3D_Income_The Cape'!AR36)</f>
        <v>19631.999999999978</v>
      </c>
      <c r="AS36" s="671">
        <f>SUM('Schedule 3B_Income_Eastern:Schedule 3D_Income_The Cape'!AS36)</f>
        <v>0</v>
      </c>
      <c r="AT36" s="671">
        <f>SUM('Schedule 3B_Income_Eastern:Schedule 3D_Income_The Cape'!AT36)</f>
        <v>25950.826288846882</v>
      </c>
      <c r="AU36" s="671">
        <f>SUM('Schedule 3B_Income_Eastern:Schedule 3D_Income_The Cape'!AU36)</f>
        <v>10676.95161646347</v>
      </c>
      <c r="AV36" s="671">
        <f>SUM('Schedule 3B_Income_Eastern:Schedule 3D_Income_The Cape'!AV36)</f>
        <v>9805.3269447153089</v>
      </c>
      <c r="AW36" s="671">
        <f>SUM('Schedule 3B_Income_Eastern:Schedule 3D_Income_The Cape'!AW36)</f>
        <v>14104.295726785094</v>
      </c>
      <c r="AX36" s="671">
        <f>SUM('Schedule 3B_Income_Eastern:Schedule 3D_Income_The Cape'!AX36)</f>
        <v>5788.3112702524795</v>
      </c>
      <c r="AY36" s="672">
        <f t="shared" si="95"/>
        <v>85957.711847063212</v>
      </c>
      <c r="AZ36" s="673">
        <f>SUM('Schedule 3B_Income_Eastern:Schedule 3D_Income_The Cape'!AZ36)</f>
        <v>0</v>
      </c>
      <c r="BA36" s="671">
        <f>SUM('Schedule 3B_Income_Eastern:Schedule 3D_Income_The Cape'!BA36)</f>
        <v>286640.94</v>
      </c>
      <c r="BB36" s="671">
        <f>SUM('Schedule 3B_Income_Eastern:Schedule 3D_Income_The Cape'!BB36)</f>
        <v>0</v>
      </c>
      <c r="BC36" s="671">
        <f>SUM('Schedule 3B_Income_Eastern:Schedule 3D_Income_The Cape'!BC36)</f>
        <v>254377.65854255902</v>
      </c>
      <c r="BD36" s="671">
        <f>SUM('Schedule 3B_Income_Eastern:Schedule 3D_Income_The Cape'!BD36)</f>
        <v>0</v>
      </c>
      <c r="BE36" s="671">
        <f>SUM('Schedule 3B_Income_Eastern:Schedule 3D_Income_The Cape'!BE36)</f>
        <v>224953.38549927843</v>
      </c>
      <c r="BF36" s="671">
        <f>SUM('Schedule 3B_Income_Eastern:Schedule 3D_Income_The Cape'!BF36)</f>
        <v>0</v>
      </c>
      <c r="BG36" s="671">
        <f>SUM('Schedule 3B_Income_Eastern:Schedule 3D_Income_The Cape'!BG36)</f>
        <v>229091.15512796168</v>
      </c>
      <c r="BH36" s="674">
        <f t="shared" si="96"/>
        <v>995063.13916979905</v>
      </c>
      <c r="BI36" s="675">
        <f t="shared" si="97"/>
        <v>1081020.8510168623</v>
      </c>
      <c r="BJ36" s="343">
        <v>14</v>
      </c>
      <c r="BK36" s="671">
        <f>SUM('Schedule 3B_Income_Eastern:Schedule 3D_Income_The Cape'!BK36)</f>
        <v>0</v>
      </c>
      <c r="BL36" s="671">
        <f>SUM('Schedule 3B_Income_Eastern:Schedule 3D_Income_The Cape'!BL36)</f>
        <v>1363.9999999999986</v>
      </c>
      <c r="BM36" s="671">
        <f>SUM('Schedule 3B_Income_Eastern:Schedule 3D_Income_The Cape'!BM36)</f>
        <v>0</v>
      </c>
      <c r="BN36" s="671">
        <f>SUM('Schedule 3B_Income_Eastern:Schedule 3D_Income_The Cape'!BN36)</f>
        <v>1632.1702113061799</v>
      </c>
      <c r="BO36" s="671">
        <f>SUM('Schedule 3B_Income_Eastern:Schedule 3D_Income_The Cape'!BO36)</f>
        <v>0</v>
      </c>
      <c r="BP36" s="671">
        <f>SUM('Schedule 3B_Income_Eastern:Schedule 3D_Income_The Cape'!BP36)</f>
        <v>1634.2211574525516</v>
      </c>
      <c r="BQ36" s="671">
        <f>SUM('Schedule 3B_Income_Eastern:Schedule 3D_Income_The Cape'!BQ36)</f>
        <v>12085.223766153251</v>
      </c>
      <c r="BR36" s="671">
        <f>SUM('Schedule 3B_Income_Eastern:Schedule 3D_Income_The Cape'!BR36)</f>
        <v>0</v>
      </c>
      <c r="BS36" s="672">
        <f t="shared" si="98"/>
        <v>16715.615134911983</v>
      </c>
      <c r="BT36" s="673">
        <f>SUM('Schedule 3B_Income_Eastern:Schedule 3D_Income_The Cape'!BT36)</f>
        <v>0</v>
      </c>
      <c r="BU36" s="671">
        <f>SUM('Schedule 3B_Income_Eastern:Schedule 3D_Income_The Cape'!BU36)</f>
        <v>12059.9</v>
      </c>
      <c r="BV36" s="671">
        <f>SUM('Schedule 3B_Income_Eastern:Schedule 3D_Income_The Cape'!BV36)</f>
        <v>0</v>
      </c>
      <c r="BW36" s="671">
        <f>SUM('Schedule 3B_Income_Eastern:Schedule 3D_Income_The Cape'!BW36)</f>
        <v>5875.5436183501088</v>
      </c>
      <c r="BX36" s="671">
        <f>SUM('Schedule 3B_Income_Eastern:Schedule 3D_Income_The Cape'!BX36)</f>
        <v>0</v>
      </c>
      <c r="BY36" s="671">
        <f>SUM('Schedule 3B_Income_Eastern:Schedule 3D_Income_The Cape'!BY36)</f>
        <v>25683.468684563883</v>
      </c>
      <c r="BZ36" s="671">
        <f>SUM('Schedule 3B_Income_Eastern:Schedule 3D_Income_The Cape'!BZ36)</f>
        <v>0</v>
      </c>
      <c r="CA36" s="671">
        <f>SUM('Schedule 3B_Income_Eastern:Schedule 3D_Income_The Cape'!CA36)</f>
        <v>12204.667973916808</v>
      </c>
      <c r="CB36" s="674">
        <f t="shared" si="99"/>
        <v>55823.580276830799</v>
      </c>
      <c r="CC36" s="675">
        <f t="shared" si="100"/>
        <v>72539.195411742781</v>
      </c>
      <c r="CD36" s="343">
        <v>14</v>
      </c>
      <c r="CE36" s="462">
        <f t="shared" si="101"/>
        <v>35439.999999999964</v>
      </c>
      <c r="CF36" s="462">
        <f t="shared" si="102"/>
        <v>80562.111441297035</v>
      </c>
      <c r="CG36" s="462">
        <f t="shared" si="103"/>
        <v>43210.209308450132</v>
      </c>
      <c r="CH36" s="462">
        <f t="shared" si="104"/>
        <v>48332.620303147974</v>
      </c>
      <c r="CI36" s="464">
        <f t="shared" si="105"/>
        <v>207544.9410528951</v>
      </c>
      <c r="CJ36" s="462">
        <f t="shared" si="106"/>
        <v>588525.46000000008</v>
      </c>
      <c r="CK36" s="462">
        <f t="shared" si="107"/>
        <v>515780.25391777308</v>
      </c>
      <c r="CL36" s="462">
        <f t="shared" si="108"/>
        <v>405077.23082743288</v>
      </c>
      <c r="CM36" s="462">
        <f t="shared" si="109"/>
        <v>450832.98806505097</v>
      </c>
      <c r="CN36" s="464">
        <f t="shared" si="110"/>
        <v>1960215.932810257</v>
      </c>
      <c r="CO36" s="462">
        <f t="shared" si="111"/>
        <v>623965.46000000008</v>
      </c>
      <c r="CP36" s="462">
        <f t="shared" si="112"/>
        <v>596342.36535907013</v>
      </c>
      <c r="CQ36" s="462">
        <f t="shared" si="113"/>
        <v>448287.44013588305</v>
      </c>
      <c r="CR36" s="462">
        <f t="shared" si="114"/>
        <v>499165.60836819897</v>
      </c>
      <c r="CS36" s="464">
        <f t="shared" si="115"/>
        <v>2167760.8738631522</v>
      </c>
    </row>
    <row r="37" spans="1:101" ht="15.75" customHeight="1" x14ac:dyDescent="0.25">
      <c r="A37" s="94" t="s">
        <v>283</v>
      </c>
      <c r="B37" s="343">
        <v>15</v>
      </c>
      <c r="C37" s="671">
        <f>SUM('Schedule 3B_Income_Eastern:Schedule 3D_Income_The Cape'!C37)</f>
        <v>182006.0399999998</v>
      </c>
      <c r="D37" s="671">
        <f>SUM('Schedule 3B_Income_Eastern:Schedule 3D_Income_The Cape'!D37)</f>
        <v>287799.15999999887</v>
      </c>
      <c r="E37" s="671">
        <f>SUM('Schedule 3B_Income_Eastern:Schedule 3D_Income_The Cape'!E37)</f>
        <v>469029.04281893373</v>
      </c>
      <c r="F37" s="671">
        <f>SUM('Schedule 3B_Income_Eastern:Schedule 3D_Income_The Cape'!F37)</f>
        <v>485798.45162120671</v>
      </c>
      <c r="G37" s="671">
        <f>SUM('Schedule 3B_Income_Eastern:Schedule 3D_Income_The Cape'!G37)</f>
        <v>544533.114103436</v>
      </c>
      <c r="H37" s="671">
        <f>SUM('Schedule 3B_Income_Eastern:Schedule 3D_Income_The Cape'!H37)</f>
        <v>433002.2665584549</v>
      </c>
      <c r="I37" s="671">
        <f>SUM('Schedule 3B_Income_Eastern:Schedule 3D_Income_The Cape'!I37)</f>
        <v>460933.99469993642</v>
      </c>
      <c r="J37" s="671">
        <f>SUM('Schedule 3B_Income_Eastern:Schedule 3D_Income_The Cape'!J37)</f>
        <v>388856.076668308</v>
      </c>
      <c r="K37" s="672">
        <f t="shared" si="89"/>
        <v>3251958.1464702743</v>
      </c>
      <c r="L37" s="673">
        <f>SUM('Schedule 3B_Income_Eastern:Schedule 3D_Income_The Cape'!L37)</f>
        <v>0</v>
      </c>
      <c r="M37" s="671">
        <f>SUM('Schedule 3B_Income_Eastern:Schedule 3D_Income_The Cape'!M37)</f>
        <v>1021674.4799999986</v>
      </c>
      <c r="N37" s="671">
        <f>SUM('Schedule 3B_Income_Eastern:Schedule 3D_Income_The Cape'!N37)</f>
        <v>0</v>
      </c>
      <c r="O37" s="671">
        <f>SUM('Schedule 3B_Income_Eastern:Schedule 3D_Income_The Cape'!O37)</f>
        <v>2399569.9124668804</v>
      </c>
      <c r="P37" s="671">
        <f>SUM('Schedule 3B_Income_Eastern:Schedule 3D_Income_The Cape'!P37)</f>
        <v>0</v>
      </c>
      <c r="Q37" s="671">
        <f>SUM('Schedule 3B_Income_Eastern:Schedule 3D_Income_The Cape'!Q37)</f>
        <v>2274831.2875582301</v>
      </c>
      <c r="R37" s="671">
        <f>SUM('Schedule 3B_Income_Eastern:Schedule 3D_Income_The Cape'!R37)</f>
        <v>0</v>
      </c>
      <c r="S37" s="671">
        <f>SUM('Schedule 3B_Income_Eastern:Schedule 3D_Income_The Cape'!S37)</f>
        <v>1948345.2159386822</v>
      </c>
      <c r="T37" s="674">
        <f t="shared" si="90"/>
        <v>7644420.8959637918</v>
      </c>
      <c r="U37" s="675">
        <f t="shared" si="91"/>
        <v>10896379.042434067</v>
      </c>
      <c r="V37" s="343">
        <v>15</v>
      </c>
      <c r="W37" s="671">
        <f>SUM('Schedule 3B_Income_Eastern:Schedule 3D_Income_The Cape'!W37)</f>
        <v>15175.619999999983</v>
      </c>
      <c r="X37" s="671">
        <f>SUM('Schedule 3B_Income_Eastern:Schedule 3D_Income_The Cape'!X37)</f>
        <v>91079.17999999992</v>
      </c>
      <c r="Y37" s="671">
        <f>SUM('Schedule 3B_Income_Eastern:Schedule 3D_Income_The Cape'!Y37)</f>
        <v>1977.966272740754</v>
      </c>
      <c r="Z37" s="671">
        <f>SUM('Schedule 3B_Income_Eastern:Schedule 3D_Income_The Cape'!Z37)</f>
        <v>49840.40762021314</v>
      </c>
      <c r="AA37" s="671">
        <f>SUM('Schedule 3B_Income_Eastern:Schedule 3D_Income_The Cape'!AA37)</f>
        <v>17511.100273725489</v>
      </c>
      <c r="AB37" s="671">
        <f>SUM('Schedule 3B_Income_Eastern:Schedule 3D_Income_The Cape'!AB37)</f>
        <v>49061.622277033312</v>
      </c>
      <c r="AC37" s="671">
        <f>SUM('Schedule 3B_Income_Eastern:Schedule 3D_Income_The Cape'!AC37)</f>
        <v>21453.661358911246</v>
      </c>
      <c r="AD37" s="671">
        <f>SUM('Schedule 3B_Income_Eastern:Schedule 3D_Income_The Cape'!AD37)</f>
        <v>57125.76591351704</v>
      </c>
      <c r="AE37" s="672">
        <f t="shared" si="92"/>
        <v>303225.32371614088</v>
      </c>
      <c r="AF37" s="673">
        <f>SUM('Schedule 3B_Income_Eastern:Schedule 3D_Income_The Cape'!AF37)</f>
        <v>0</v>
      </c>
      <c r="AG37" s="671">
        <f>SUM('Schedule 3B_Income_Eastern:Schedule 3D_Income_The Cape'!AG37)</f>
        <v>348809.84000000032</v>
      </c>
      <c r="AH37" s="671">
        <f>SUM('Schedule 3B_Income_Eastern:Schedule 3D_Income_The Cape'!AH37)</f>
        <v>0</v>
      </c>
      <c r="AI37" s="671">
        <f>SUM('Schedule 3B_Income_Eastern:Schedule 3D_Income_The Cape'!AI37)</f>
        <v>252495.36330531546</v>
      </c>
      <c r="AJ37" s="671">
        <f>SUM('Schedule 3B_Income_Eastern:Schedule 3D_Income_The Cape'!AJ37)</f>
        <v>0</v>
      </c>
      <c r="AK37" s="671">
        <f>SUM('Schedule 3B_Income_Eastern:Schedule 3D_Income_The Cape'!AK37)</f>
        <v>260400.22982725152</v>
      </c>
      <c r="AL37" s="671">
        <f>SUM('Schedule 3B_Income_Eastern:Schedule 3D_Income_The Cape'!AL37)</f>
        <v>0</v>
      </c>
      <c r="AM37" s="671">
        <f>SUM('Schedule 3B_Income_Eastern:Schedule 3D_Income_The Cape'!AM37)</f>
        <v>329232.3189888089</v>
      </c>
      <c r="AN37" s="674">
        <f t="shared" si="93"/>
        <v>1190937.7521213763</v>
      </c>
      <c r="AO37" s="675">
        <f t="shared" si="94"/>
        <v>1494163.0758375172</v>
      </c>
      <c r="AP37" s="343">
        <v>15</v>
      </c>
      <c r="AQ37" s="671">
        <f>SUM('Schedule 3B_Income_Eastern:Schedule 3D_Income_The Cape'!AQ37)</f>
        <v>1333841.8000000007</v>
      </c>
      <c r="AR37" s="671">
        <f>SUM('Schedule 3B_Income_Eastern:Schedule 3D_Income_The Cape'!AR37)</f>
        <v>1534305.7399999932</v>
      </c>
      <c r="AS37" s="671">
        <f>SUM('Schedule 3B_Income_Eastern:Schedule 3D_Income_The Cape'!AS37)</f>
        <v>1637461.153073455</v>
      </c>
      <c r="AT37" s="671">
        <f>SUM('Schedule 3B_Income_Eastern:Schedule 3D_Income_The Cape'!AT37)</f>
        <v>1363987.5338040674</v>
      </c>
      <c r="AU37" s="671">
        <f>SUM('Schedule 3B_Income_Eastern:Schedule 3D_Income_The Cape'!AU37)</f>
        <v>1612963.0844676439</v>
      </c>
      <c r="AV37" s="671">
        <f>SUM('Schedule 3B_Income_Eastern:Schedule 3D_Income_The Cape'!AV37)</f>
        <v>1286496.185830412</v>
      </c>
      <c r="AW37" s="671">
        <f>SUM('Schedule 3B_Income_Eastern:Schedule 3D_Income_The Cape'!AW37)</f>
        <v>1820530.0185615562</v>
      </c>
      <c r="AX37" s="671">
        <f>SUM('Schedule 3B_Income_Eastern:Schedule 3D_Income_The Cape'!AX37)</f>
        <v>1220117.2277615843</v>
      </c>
      <c r="AY37" s="672">
        <f t="shared" si="95"/>
        <v>11809702.743498713</v>
      </c>
      <c r="AZ37" s="673">
        <f>SUM('Schedule 3B_Income_Eastern:Schedule 3D_Income_The Cape'!AZ37)</f>
        <v>0</v>
      </c>
      <c r="BA37" s="671">
        <f>SUM('Schedule 3B_Income_Eastern:Schedule 3D_Income_The Cape'!BA37)</f>
        <v>6774384.3700000122</v>
      </c>
      <c r="BB37" s="671">
        <f>SUM('Schedule 3B_Income_Eastern:Schedule 3D_Income_The Cape'!BB37)</f>
        <v>0</v>
      </c>
      <c r="BC37" s="671">
        <f>SUM('Schedule 3B_Income_Eastern:Schedule 3D_Income_The Cape'!BC37)</f>
        <v>6753171.157168691</v>
      </c>
      <c r="BD37" s="671">
        <f>SUM('Schedule 3B_Income_Eastern:Schedule 3D_Income_The Cape'!BD37)</f>
        <v>0</v>
      </c>
      <c r="BE37" s="671">
        <f>SUM('Schedule 3B_Income_Eastern:Schedule 3D_Income_The Cape'!BE37)</f>
        <v>7461657.2400680911</v>
      </c>
      <c r="BF37" s="671">
        <f>SUM('Schedule 3B_Income_Eastern:Schedule 3D_Income_The Cape'!BF37)</f>
        <v>0</v>
      </c>
      <c r="BG37" s="671">
        <f>SUM('Schedule 3B_Income_Eastern:Schedule 3D_Income_The Cape'!BG37)</f>
        <v>8095518.6048139203</v>
      </c>
      <c r="BH37" s="674">
        <f t="shared" si="96"/>
        <v>29084731.37205071</v>
      </c>
      <c r="BI37" s="675">
        <f t="shared" si="97"/>
        <v>40894434.115549423</v>
      </c>
      <c r="BJ37" s="343">
        <v>15</v>
      </c>
      <c r="BK37" s="671">
        <f>SUM('Schedule 3B_Income_Eastern:Schedule 3D_Income_The Cape'!BK37)</f>
        <v>36883.609999999957</v>
      </c>
      <c r="BL37" s="671">
        <f>SUM('Schedule 3B_Income_Eastern:Schedule 3D_Income_The Cape'!BL37)</f>
        <v>28793.619999999995</v>
      </c>
      <c r="BM37" s="671">
        <f>SUM('Schedule 3B_Income_Eastern:Schedule 3D_Income_The Cape'!BM37)</f>
        <v>6020.1378116787155</v>
      </c>
      <c r="BN37" s="671">
        <f>SUM('Schedule 3B_Income_Eastern:Schedule 3D_Income_The Cape'!BN37)</f>
        <v>179868.52763741891</v>
      </c>
      <c r="BO37" s="671">
        <f>SUM('Schedule 3B_Income_Eastern:Schedule 3D_Income_The Cape'!BO37)</f>
        <v>41160.593565981624</v>
      </c>
      <c r="BP37" s="671">
        <f>SUM('Schedule 3B_Income_Eastern:Schedule 3D_Income_The Cape'!BP37)</f>
        <v>157567.72873449209</v>
      </c>
      <c r="BQ37" s="671">
        <f>SUM('Schedule 3B_Income_Eastern:Schedule 3D_Income_The Cape'!BQ37)</f>
        <v>65449.220780460964</v>
      </c>
      <c r="BR37" s="671">
        <f>SUM('Schedule 3B_Income_Eastern:Schedule 3D_Income_The Cape'!BR37)</f>
        <v>127802.83620439432</v>
      </c>
      <c r="BS37" s="672">
        <f t="shared" si="98"/>
        <v>643546.27473442652</v>
      </c>
      <c r="BT37" s="673">
        <f>SUM('Schedule 3B_Income_Eastern:Schedule 3D_Income_The Cape'!BT37)</f>
        <v>0</v>
      </c>
      <c r="BU37" s="671">
        <f>SUM('Schedule 3B_Income_Eastern:Schedule 3D_Income_The Cape'!BU37)</f>
        <v>146159.59999999989</v>
      </c>
      <c r="BV37" s="671">
        <f>SUM('Schedule 3B_Income_Eastern:Schedule 3D_Income_The Cape'!BV37)</f>
        <v>0</v>
      </c>
      <c r="BW37" s="671">
        <f>SUM('Schedule 3B_Income_Eastern:Schedule 3D_Income_The Cape'!BW37)</f>
        <v>133366.20492853908</v>
      </c>
      <c r="BX37" s="671">
        <f>SUM('Schedule 3B_Income_Eastern:Schedule 3D_Income_The Cape'!BX37)</f>
        <v>0</v>
      </c>
      <c r="BY37" s="671">
        <f>SUM('Schedule 3B_Income_Eastern:Schedule 3D_Income_The Cape'!BY37)</f>
        <v>195027.50163661104</v>
      </c>
      <c r="BZ37" s="671">
        <f>SUM('Schedule 3B_Income_Eastern:Schedule 3D_Income_The Cape'!BZ37)</f>
        <v>0</v>
      </c>
      <c r="CA37" s="671">
        <f>SUM('Schedule 3B_Income_Eastern:Schedule 3D_Income_The Cape'!CA37)</f>
        <v>121091.32009837881</v>
      </c>
      <c r="CB37" s="674">
        <f t="shared" si="99"/>
        <v>595644.62666352885</v>
      </c>
      <c r="CC37" s="675">
        <f t="shared" si="100"/>
        <v>1239190.9013979554</v>
      </c>
      <c r="CD37" s="343">
        <v>15</v>
      </c>
      <c r="CE37" s="462">
        <f t="shared" si="101"/>
        <v>3509884.7699999926</v>
      </c>
      <c r="CF37" s="462">
        <f t="shared" si="102"/>
        <v>4193983.2206597142</v>
      </c>
      <c r="CG37" s="462">
        <f t="shared" si="103"/>
        <v>4142295.6958111795</v>
      </c>
      <c r="CH37" s="462">
        <f t="shared" si="104"/>
        <v>4162268.8019486689</v>
      </c>
      <c r="CI37" s="464">
        <f t="shared" si="105"/>
        <v>16008432.488419555</v>
      </c>
      <c r="CJ37" s="462">
        <f t="shared" si="106"/>
        <v>8291028.2900000103</v>
      </c>
      <c r="CK37" s="462">
        <f t="shared" si="107"/>
        <v>9538602.637869427</v>
      </c>
      <c r="CL37" s="462">
        <f t="shared" si="108"/>
        <v>10191916.259090183</v>
      </c>
      <c r="CM37" s="462">
        <f t="shared" si="109"/>
        <v>10494187.459839791</v>
      </c>
      <c r="CN37" s="464">
        <f t="shared" si="110"/>
        <v>38515734.646799408</v>
      </c>
      <c r="CO37" s="462">
        <f t="shared" si="111"/>
        <v>11800913.060000002</v>
      </c>
      <c r="CP37" s="462">
        <f t="shared" si="112"/>
        <v>13732585.858529141</v>
      </c>
      <c r="CQ37" s="462">
        <f t="shared" si="113"/>
        <v>14334211.954901364</v>
      </c>
      <c r="CR37" s="462">
        <f t="shared" si="114"/>
        <v>14656456.261788459</v>
      </c>
      <c r="CS37" s="464">
        <f t="shared" si="115"/>
        <v>54524167.135218963</v>
      </c>
    </row>
    <row r="38" spans="1:101" ht="15.75" customHeight="1" x14ac:dyDescent="0.25">
      <c r="A38" s="94" t="s">
        <v>284</v>
      </c>
      <c r="B38" s="343">
        <v>16</v>
      </c>
      <c r="C38" s="671">
        <f>SUM('Schedule 3B_Income_Eastern:Schedule 3D_Income_The Cape'!C38)</f>
        <v>9251.8699999999917</v>
      </c>
      <c r="D38" s="671">
        <f>SUM('Schedule 3B_Income_Eastern:Schedule 3D_Income_The Cape'!D38)</f>
        <v>20507.269999999975</v>
      </c>
      <c r="E38" s="671">
        <f>SUM('Schedule 3B_Income_Eastern:Schedule 3D_Income_The Cape'!E38)</f>
        <v>22404.626472452401</v>
      </c>
      <c r="F38" s="671">
        <f>SUM('Schedule 3B_Income_Eastern:Schedule 3D_Income_The Cape'!F38)</f>
        <v>49784.431782757987</v>
      </c>
      <c r="G38" s="671">
        <f>SUM('Schedule 3B_Income_Eastern:Schedule 3D_Income_The Cape'!G38)</f>
        <v>21562.106212741608</v>
      </c>
      <c r="H38" s="671">
        <f>SUM('Schedule 3B_Income_Eastern:Schedule 3D_Income_The Cape'!H38)</f>
        <v>69817.692963745576</v>
      </c>
      <c r="I38" s="671">
        <f>SUM('Schedule 3B_Income_Eastern:Schedule 3D_Income_The Cape'!I38)</f>
        <v>14536.161861909553</v>
      </c>
      <c r="J38" s="671">
        <f>SUM('Schedule 3B_Income_Eastern:Schedule 3D_Income_The Cape'!J38)</f>
        <v>49589.861217647653</v>
      </c>
      <c r="K38" s="672">
        <f t="shared" si="89"/>
        <v>257454.02051125476</v>
      </c>
      <c r="L38" s="673">
        <f>SUM('Schedule 3B_Income_Eastern:Schedule 3D_Income_The Cape'!L38)</f>
        <v>0</v>
      </c>
      <c r="M38" s="671">
        <f>SUM('Schedule 3B_Income_Eastern:Schedule 3D_Income_The Cape'!M38)</f>
        <v>46098.19</v>
      </c>
      <c r="N38" s="671">
        <f>SUM('Schedule 3B_Income_Eastern:Schedule 3D_Income_The Cape'!N38)</f>
        <v>0</v>
      </c>
      <c r="O38" s="671">
        <f>SUM('Schedule 3B_Income_Eastern:Schedule 3D_Income_The Cape'!O38)</f>
        <v>137674.47330238449</v>
      </c>
      <c r="P38" s="671">
        <f>SUM('Schedule 3B_Income_Eastern:Schedule 3D_Income_The Cape'!P38)</f>
        <v>0</v>
      </c>
      <c r="Q38" s="671">
        <f>SUM('Schedule 3B_Income_Eastern:Schedule 3D_Income_The Cape'!Q38)</f>
        <v>171458.91627323261</v>
      </c>
      <c r="R38" s="671">
        <f>SUM('Schedule 3B_Income_Eastern:Schedule 3D_Income_The Cape'!R38)</f>
        <v>0</v>
      </c>
      <c r="S38" s="671">
        <f>SUM('Schedule 3B_Income_Eastern:Schedule 3D_Income_The Cape'!S38)</f>
        <v>124244.97312485777</v>
      </c>
      <c r="T38" s="674">
        <f t="shared" si="90"/>
        <v>479476.55270047486</v>
      </c>
      <c r="U38" s="675">
        <f t="shared" si="91"/>
        <v>736930.57321172964</v>
      </c>
      <c r="V38" s="343">
        <v>16</v>
      </c>
      <c r="W38" s="671">
        <f>SUM('Schedule 3B_Income_Eastern:Schedule 3D_Income_The Cape'!W38)</f>
        <v>16811.589999999978</v>
      </c>
      <c r="X38" s="671">
        <f>SUM('Schedule 3B_Income_Eastern:Schedule 3D_Income_The Cape'!X38)</f>
        <v>34163.919999999969</v>
      </c>
      <c r="Y38" s="671">
        <f>SUM('Schedule 3B_Income_Eastern:Schedule 3D_Income_The Cape'!Y38)</f>
        <v>5482.8717827474702</v>
      </c>
      <c r="Z38" s="671">
        <f>SUM('Schedule 3B_Income_Eastern:Schedule 3D_Income_The Cape'!Z38)</f>
        <v>20425.390067255554</v>
      </c>
      <c r="AA38" s="671">
        <f>SUM('Schedule 3B_Income_Eastern:Schedule 3D_Income_The Cape'!AA38)</f>
        <v>2473.792263483766</v>
      </c>
      <c r="AB38" s="671">
        <f>SUM('Schedule 3B_Income_Eastern:Schedule 3D_Income_The Cape'!AB38)</f>
        <v>19095.633898192267</v>
      </c>
      <c r="AC38" s="671">
        <f>SUM('Schedule 3B_Income_Eastern:Schedule 3D_Income_The Cape'!AC38)</f>
        <v>5316.569431640396</v>
      </c>
      <c r="AD38" s="671">
        <f>SUM('Schedule 3B_Income_Eastern:Schedule 3D_Income_The Cape'!AD38)</f>
        <v>25980.860775218087</v>
      </c>
      <c r="AE38" s="672">
        <f t="shared" si="92"/>
        <v>129750.62821853747</v>
      </c>
      <c r="AF38" s="673">
        <f>SUM('Schedule 3B_Income_Eastern:Schedule 3D_Income_The Cape'!AF38)</f>
        <v>0</v>
      </c>
      <c r="AG38" s="671">
        <f>SUM('Schedule 3B_Income_Eastern:Schedule 3D_Income_The Cape'!AG38)</f>
        <v>79605.960000000006</v>
      </c>
      <c r="AH38" s="671">
        <f>SUM('Schedule 3B_Income_Eastern:Schedule 3D_Income_The Cape'!AH38)</f>
        <v>0</v>
      </c>
      <c r="AI38" s="671">
        <f>SUM('Schedule 3B_Income_Eastern:Schedule 3D_Income_The Cape'!AI38)</f>
        <v>69185.936956975464</v>
      </c>
      <c r="AJ38" s="671">
        <f>SUM('Schedule 3B_Income_Eastern:Schedule 3D_Income_The Cape'!AJ38)</f>
        <v>0</v>
      </c>
      <c r="AK38" s="671">
        <f>SUM('Schedule 3B_Income_Eastern:Schedule 3D_Income_The Cape'!AK38)</f>
        <v>66703.492571438299</v>
      </c>
      <c r="AL38" s="671">
        <f>SUM('Schedule 3B_Income_Eastern:Schedule 3D_Income_The Cape'!AL38)</f>
        <v>0</v>
      </c>
      <c r="AM38" s="671">
        <f>SUM('Schedule 3B_Income_Eastern:Schedule 3D_Income_The Cape'!AM38)</f>
        <v>97586.784082292608</v>
      </c>
      <c r="AN38" s="674">
        <f t="shared" si="93"/>
        <v>313082.17361070635</v>
      </c>
      <c r="AO38" s="675">
        <f t="shared" si="94"/>
        <v>442832.80182924384</v>
      </c>
      <c r="AP38" s="343">
        <v>16</v>
      </c>
      <c r="AQ38" s="671">
        <f>SUM('Schedule 3B_Income_Eastern:Schedule 3D_Income_The Cape'!AQ38)</f>
        <v>33623.829999999958</v>
      </c>
      <c r="AR38" s="671">
        <f>SUM('Schedule 3B_Income_Eastern:Schedule 3D_Income_The Cape'!AR38)</f>
        <v>158354.17999999996</v>
      </c>
      <c r="AS38" s="671">
        <f>SUM('Schedule 3B_Income_Eastern:Schedule 3D_Income_The Cape'!AS38)</f>
        <v>29648.351886290824</v>
      </c>
      <c r="AT38" s="671">
        <f>SUM('Schedule 3B_Income_Eastern:Schedule 3D_Income_The Cape'!AT38)</f>
        <v>129454.59020649652</v>
      </c>
      <c r="AU38" s="671">
        <f>SUM('Schedule 3B_Income_Eastern:Schedule 3D_Income_The Cape'!AU38)</f>
        <v>34614.276115519955</v>
      </c>
      <c r="AV38" s="671">
        <f>SUM('Schedule 3B_Income_Eastern:Schedule 3D_Income_The Cape'!AV38)</f>
        <v>132744.20976108889</v>
      </c>
      <c r="AW38" s="671">
        <f>SUM('Schedule 3B_Income_Eastern:Schedule 3D_Income_The Cape'!AW38)</f>
        <v>42337.439996269743</v>
      </c>
      <c r="AX38" s="671">
        <f>SUM('Schedule 3B_Income_Eastern:Schedule 3D_Income_The Cape'!AX38)</f>
        <v>128128.55816359379</v>
      </c>
      <c r="AY38" s="672">
        <f t="shared" si="95"/>
        <v>688905.43612925953</v>
      </c>
      <c r="AZ38" s="673">
        <f>SUM('Schedule 3B_Income_Eastern:Schedule 3D_Income_The Cape'!AZ38)</f>
        <v>0</v>
      </c>
      <c r="BA38" s="671">
        <f>SUM('Schedule 3B_Income_Eastern:Schedule 3D_Income_The Cape'!BA38)</f>
        <v>459477.32999999961</v>
      </c>
      <c r="BB38" s="671">
        <f>SUM('Schedule 3B_Income_Eastern:Schedule 3D_Income_The Cape'!BB38)</f>
        <v>0</v>
      </c>
      <c r="BC38" s="671">
        <f>SUM('Schedule 3B_Income_Eastern:Schedule 3D_Income_The Cape'!BC38)</f>
        <v>411169.33168193308</v>
      </c>
      <c r="BD38" s="671">
        <f>SUM('Schedule 3B_Income_Eastern:Schedule 3D_Income_The Cape'!BD38)</f>
        <v>0</v>
      </c>
      <c r="BE38" s="671">
        <f>SUM('Schedule 3B_Income_Eastern:Schedule 3D_Income_The Cape'!BE38)</f>
        <v>434791.14890334179</v>
      </c>
      <c r="BF38" s="671">
        <f>SUM('Schedule 3B_Income_Eastern:Schedule 3D_Income_The Cape'!BF38)</f>
        <v>0</v>
      </c>
      <c r="BG38" s="671">
        <f>SUM('Schedule 3B_Income_Eastern:Schedule 3D_Income_The Cape'!BG38)</f>
        <v>485553.2167130406</v>
      </c>
      <c r="BH38" s="674">
        <f t="shared" si="96"/>
        <v>1790991.027298315</v>
      </c>
      <c r="BI38" s="675">
        <f t="shared" si="97"/>
        <v>2479896.4634275744</v>
      </c>
      <c r="BJ38" s="343">
        <v>16</v>
      </c>
      <c r="BK38" s="671">
        <f>SUM('Schedule 3B_Income_Eastern:Schedule 3D_Income_The Cape'!BK38)</f>
        <v>2420.4799999999977</v>
      </c>
      <c r="BL38" s="671">
        <f>SUM('Schedule 3B_Income_Eastern:Schedule 3D_Income_The Cape'!BL38)</f>
        <v>17244.309999999983</v>
      </c>
      <c r="BM38" s="671">
        <f>SUM('Schedule 3B_Income_Eastern:Schedule 3D_Income_The Cape'!BM38)</f>
        <v>1439.6001290837503</v>
      </c>
      <c r="BN38" s="671">
        <f>SUM('Schedule 3B_Income_Eastern:Schedule 3D_Income_The Cape'!BN38)</f>
        <v>15618.688799130692</v>
      </c>
      <c r="BO38" s="671">
        <f>SUM('Schedule 3B_Income_Eastern:Schedule 3D_Income_The Cape'!BO38)</f>
        <v>2012.1948817736541</v>
      </c>
      <c r="BP38" s="671">
        <f>SUM('Schedule 3B_Income_Eastern:Schedule 3D_Income_The Cape'!BP38)</f>
        <v>10821.618240616148</v>
      </c>
      <c r="BQ38" s="671">
        <f>SUM('Schedule 3B_Income_Eastern:Schedule 3D_Income_The Cape'!BQ38)</f>
        <v>2700.9102944726824</v>
      </c>
      <c r="BR38" s="671">
        <f>SUM('Schedule 3B_Income_Eastern:Schedule 3D_Income_The Cape'!BR38)</f>
        <v>9886.7111398271318</v>
      </c>
      <c r="BS38" s="672">
        <f t="shared" si="98"/>
        <v>62144.513484904041</v>
      </c>
      <c r="BT38" s="673">
        <f>SUM('Schedule 3B_Income_Eastern:Schedule 3D_Income_The Cape'!BT38)</f>
        <v>0</v>
      </c>
      <c r="BU38" s="671">
        <f>SUM('Schedule 3B_Income_Eastern:Schedule 3D_Income_The Cape'!BU38)</f>
        <v>35166.470000000008</v>
      </c>
      <c r="BV38" s="671">
        <f>SUM('Schedule 3B_Income_Eastern:Schedule 3D_Income_The Cape'!BV38)</f>
        <v>0</v>
      </c>
      <c r="BW38" s="671">
        <f>SUM('Schedule 3B_Income_Eastern:Schedule 3D_Income_The Cape'!BW38)</f>
        <v>42301.562633949266</v>
      </c>
      <c r="BX38" s="671">
        <f>SUM('Schedule 3B_Income_Eastern:Schedule 3D_Income_The Cape'!BX38)</f>
        <v>0</v>
      </c>
      <c r="BY38" s="671">
        <f>SUM('Schedule 3B_Income_Eastern:Schedule 3D_Income_The Cape'!BY38)</f>
        <v>44114.311114489079</v>
      </c>
      <c r="BZ38" s="671">
        <f>SUM('Schedule 3B_Income_Eastern:Schedule 3D_Income_The Cape'!BZ38)</f>
        <v>0</v>
      </c>
      <c r="CA38" s="671">
        <f>SUM('Schedule 3B_Income_Eastern:Schedule 3D_Income_The Cape'!CA38)</f>
        <v>44398.504713408001</v>
      </c>
      <c r="CB38" s="674">
        <f t="shared" si="99"/>
        <v>165980.84846184636</v>
      </c>
      <c r="CC38" s="675">
        <f t="shared" si="100"/>
        <v>228125.3619467504</v>
      </c>
      <c r="CD38" s="343">
        <v>16</v>
      </c>
      <c r="CE38" s="462">
        <f t="shared" si="101"/>
        <v>292377.44999999978</v>
      </c>
      <c r="CF38" s="462">
        <f t="shared" si="102"/>
        <v>274258.5511262152</v>
      </c>
      <c r="CG38" s="462">
        <f t="shared" si="103"/>
        <v>293141.52433716191</v>
      </c>
      <c r="CH38" s="462">
        <f t="shared" si="104"/>
        <v>278477.07288057904</v>
      </c>
      <c r="CI38" s="464">
        <f t="shared" si="105"/>
        <v>1138254.5983439558</v>
      </c>
      <c r="CJ38" s="462">
        <f t="shared" si="106"/>
        <v>620347.9499999996</v>
      </c>
      <c r="CK38" s="462">
        <f t="shared" si="107"/>
        <v>660331.30457524222</v>
      </c>
      <c r="CL38" s="462">
        <f t="shared" si="108"/>
        <v>717067.86886250181</v>
      </c>
      <c r="CM38" s="462">
        <f t="shared" si="109"/>
        <v>751783.47863359889</v>
      </c>
      <c r="CN38" s="464">
        <f t="shared" si="110"/>
        <v>2749530.6020713425</v>
      </c>
      <c r="CO38" s="462">
        <f t="shared" si="111"/>
        <v>912725.39999999932</v>
      </c>
      <c r="CP38" s="462">
        <f t="shared" si="112"/>
        <v>934589.85570145759</v>
      </c>
      <c r="CQ38" s="462">
        <f t="shared" si="113"/>
        <v>1010209.3931996637</v>
      </c>
      <c r="CR38" s="462">
        <f t="shared" si="114"/>
        <v>1030260.551514178</v>
      </c>
      <c r="CS38" s="464">
        <f t="shared" si="115"/>
        <v>3887785.2004152983</v>
      </c>
    </row>
    <row r="39" spans="1:101" ht="15.75" customHeight="1" x14ac:dyDescent="0.25">
      <c r="A39" s="94" t="s">
        <v>234</v>
      </c>
      <c r="B39" s="343">
        <v>17</v>
      </c>
      <c r="C39" s="671">
        <f>SUM('Schedule 3B_Income_Eastern:Schedule 3D_Income_The Cape'!C39)</f>
        <v>189615.94999999987</v>
      </c>
      <c r="D39" s="671">
        <f>SUM('Schedule 3B_Income_Eastern:Schedule 3D_Income_The Cape'!D39)</f>
        <v>342353.61999999988</v>
      </c>
      <c r="E39" s="671">
        <f>SUM('Schedule 3B_Income_Eastern:Schedule 3D_Income_The Cape'!E39)</f>
        <v>411217.15389066481</v>
      </c>
      <c r="F39" s="671">
        <f>SUM('Schedule 3B_Income_Eastern:Schedule 3D_Income_The Cape'!F39)</f>
        <v>485560.14676952187</v>
      </c>
      <c r="G39" s="671">
        <f>SUM('Schedule 3B_Income_Eastern:Schedule 3D_Income_The Cape'!G39)</f>
        <v>400692.39247909345</v>
      </c>
      <c r="H39" s="671">
        <f>SUM('Schedule 3B_Income_Eastern:Schedule 3D_Income_The Cape'!H39)</f>
        <v>476255.98500250012</v>
      </c>
      <c r="I39" s="671">
        <f>SUM('Schedule 3B_Income_Eastern:Schedule 3D_Income_The Cape'!I39)</f>
        <v>331341.04506234848</v>
      </c>
      <c r="J39" s="671">
        <f>SUM('Schedule 3B_Income_Eastern:Schedule 3D_Income_The Cape'!J39)</f>
        <v>415027.27706599765</v>
      </c>
      <c r="K39" s="672">
        <f t="shared" si="89"/>
        <v>3052063.5702701262</v>
      </c>
      <c r="L39" s="673">
        <f>SUM('Schedule 3B_Income_Eastern:Schedule 3D_Income_The Cape'!L39)</f>
        <v>0</v>
      </c>
      <c r="M39" s="671">
        <f>SUM('Schedule 3B_Income_Eastern:Schedule 3D_Income_The Cape'!M39)</f>
        <v>740110.2500000014</v>
      </c>
      <c r="N39" s="671">
        <f>SUM('Schedule 3B_Income_Eastern:Schedule 3D_Income_The Cape'!N39)</f>
        <v>0</v>
      </c>
      <c r="O39" s="671">
        <f>SUM('Schedule 3B_Income_Eastern:Schedule 3D_Income_The Cape'!O39)</f>
        <v>1549646.762533</v>
      </c>
      <c r="P39" s="671">
        <f>SUM('Schedule 3B_Income_Eastern:Schedule 3D_Income_The Cape'!P39)</f>
        <v>0</v>
      </c>
      <c r="Q39" s="671">
        <f>SUM('Schedule 3B_Income_Eastern:Schedule 3D_Income_The Cape'!Q39)</f>
        <v>1449917.8202957818</v>
      </c>
      <c r="R39" s="671">
        <f>SUM('Schedule 3B_Income_Eastern:Schedule 3D_Income_The Cape'!R39)</f>
        <v>0</v>
      </c>
      <c r="S39" s="671">
        <f>SUM('Schedule 3B_Income_Eastern:Schedule 3D_Income_The Cape'!S39)</f>
        <v>1322954.9584782552</v>
      </c>
      <c r="T39" s="674">
        <f t="shared" si="90"/>
        <v>5062629.7913070386</v>
      </c>
      <c r="U39" s="675">
        <f t="shared" si="91"/>
        <v>8114693.3615771644</v>
      </c>
      <c r="V39" s="343">
        <v>17</v>
      </c>
      <c r="W39" s="671">
        <f>SUM('Schedule 3B_Income_Eastern:Schedule 3D_Income_The Cape'!W39)</f>
        <v>19065.229999999978</v>
      </c>
      <c r="X39" s="671">
        <f>SUM('Schedule 3B_Income_Eastern:Schedule 3D_Income_The Cape'!X39)</f>
        <v>88171.83999999988</v>
      </c>
      <c r="Y39" s="671">
        <f>SUM('Schedule 3B_Income_Eastern:Schedule 3D_Income_The Cape'!Y39)</f>
        <v>5038.1354032954196</v>
      </c>
      <c r="Z39" s="671">
        <f>SUM('Schedule 3B_Income_Eastern:Schedule 3D_Income_The Cape'!Z39)</f>
        <v>60701.320253386337</v>
      </c>
      <c r="AA39" s="671">
        <f>SUM('Schedule 3B_Income_Eastern:Schedule 3D_Income_The Cape'!AA39)</f>
        <v>13153.687881297063</v>
      </c>
      <c r="AB39" s="671">
        <f>SUM('Schedule 3B_Income_Eastern:Schedule 3D_Income_The Cape'!AB39)</f>
        <v>51638.074070579518</v>
      </c>
      <c r="AC39" s="671">
        <f>SUM('Schedule 3B_Income_Eastern:Schedule 3D_Income_The Cape'!AC39)</f>
        <v>21341.886725610217</v>
      </c>
      <c r="AD39" s="671">
        <f>SUM('Schedule 3B_Income_Eastern:Schedule 3D_Income_The Cape'!AD39)</f>
        <v>52918.577563928258</v>
      </c>
      <c r="AE39" s="672">
        <f t="shared" si="92"/>
        <v>312028.75189809664</v>
      </c>
      <c r="AF39" s="673">
        <f>SUM('Schedule 3B_Income_Eastern:Schedule 3D_Income_The Cape'!AF39)</f>
        <v>0</v>
      </c>
      <c r="AG39" s="671">
        <f>SUM('Schedule 3B_Income_Eastern:Schedule 3D_Income_The Cape'!AG39)</f>
        <v>243410.55999999994</v>
      </c>
      <c r="AH39" s="671">
        <f>SUM('Schedule 3B_Income_Eastern:Schedule 3D_Income_The Cape'!AH39)</f>
        <v>0</v>
      </c>
      <c r="AI39" s="671">
        <f>SUM('Schedule 3B_Income_Eastern:Schedule 3D_Income_The Cape'!AI39)</f>
        <v>201161.53319095136</v>
      </c>
      <c r="AJ39" s="671">
        <f>SUM('Schedule 3B_Income_Eastern:Schedule 3D_Income_The Cape'!AJ39)</f>
        <v>0</v>
      </c>
      <c r="AK39" s="671">
        <f>SUM('Schedule 3B_Income_Eastern:Schedule 3D_Income_The Cape'!AK39)</f>
        <v>200774.30015268663</v>
      </c>
      <c r="AL39" s="671">
        <f>SUM('Schedule 3B_Income_Eastern:Schedule 3D_Income_The Cape'!AL39)</f>
        <v>0</v>
      </c>
      <c r="AM39" s="671">
        <f>SUM('Schedule 3B_Income_Eastern:Schedule 3D_Income_The Cape'!AM39)</f>
        <v>221024.71814907968</v>
      </c>
      <c r="AN39" s="674">
        <f t="shared" si="93"/>
        <v>866371.11149271764</v>
      </c>
      <c r="AO39" s="675">
        <f t="shared" si="94"/>
        <v>1178399.8633908143</v>
      </c>
      <c r="AP39" s="343">
        <v>17</v>
      </c>
      <c r="AQ39" s="671">
        <f>SUM('Schedule 3B_Income_Eastern:Schedule 3D_Income_The Cape'!AQ39)</f>
        <v>1251275.0799999975</v>
      </c>
      <c r="AR39" s="671">
        <f>SUM('Schedule 3B_Income_Eastern:Schedule 3D_Income_The Cape'!AR39)</f>
        <v>1562567.9599999981</v>
      </c>
      <c r="AS39" s="671">
        <f>SUM('Schedule 3B_Income_Eastern:Schedule 3D_Income_The Cape'!AS39)</f>
        <v>1035583.9361472212</v>
      </c>
      <c r="AT39" s="671">
        <f>SUM('Schedule 3B_Income_Eastern:Schedule 3D_Income_The Cape'!AT39)</f>
        <v>1154268.0331499618</v>
      </c>
      <c r="AU39" s="671">
        <f>SUM('Schedule 3B_Income_Eastern:Schedule 3D_Income_The Cape'!AU39)</f>
        <v>1171550.8875226299</v>
      </c>
      <c r="AV39" s="671">
        <f>SUM('Schedule 3B_Income_Eastern:Schedule 3D_Income_The Cape'!AV39)</f>
        <v>1287160.8892644311</v>
      </c>
      <c r="AW39" s="671">
        <f>SUM('Schedule 3B_Income_Eastern:Schedule 3D_Income_The Cape'!AW39)</f>
        <v>1350491.3731969229</v>
      </c>
      <c r="AX39" s="671">
        <f>SUM('Schedule 3B_Income_Eastern:Schedule 3D_Income_The Cape'!AX39)</f>
        <v>1270909.9658168885</v>
      </c>
      <c r="AY39" s="672">
        <f t="shared" si="95"/>
        <v>10083808.125098052</v>
      </c>
      <c r="AZ39" s="673">
        <f>SUM('Schedule 3B_Income_Eastern:Schedule 3D_Income_The Cape'!AZ39)</f>
        <v>0</v>
      </c>
      <c r="BA39" s="671">
        <f>SUM('Schedule 3B_Income_Eastern:Schedule 3D_Income_The Cape'!BA39)</f>
        <v>4195310.3300000019</v>
      </c>
      <c r="BB39" s="671">
        <f>SUM('Schedule 3B_Income_Eastern:Schedule 3D_Income_The Cape'!BB39)</f>
        <v>0</v>
      </c>
      <c r="BC39" s="671">
        <f>SUM('Schedule 3B_Income_Eastern:Schedule 3D_Income_The Cape'!BC39)</f>
        <v>4159035.9297776371</v>
      </c>
      <c r="BD39" s="671">
        <f>SUM('Schedule 3B_Income_Eastern:Schedule 3D_Income_The Cape'!BD39)</f>
        <v>0</v>
      </c>
      <c r="BE39" s="671">
        <f>SUM('Schedule 3B_Income_Eastern:Schedule 3D_Income_The Cape'!BE39)</f>
        <v>4589271.9412148297</v>
      </c>
      <c r="BF39" s="671">
        <f>SUM('Schedule 3B_Income_Eastern:Schedule 3D_Income_The Cape'!BF39)</f>
        <v>0</v>
      </c>
      <c r="BG39" s="671">
        <f>SUM('Schedule 3B_Income_Eastern:Schedule 3D_Income_The Cape'!BG39)</f>
        <v>4985424.2452321844</v>
      </c>
      <c r="BH39" s="674">
        <f t="shared" si="96"/>
        <v>17929042.446224652</v>
      </c>
      <c r="BI39" s="675">
        <f t="shared" si="97"/>
        <v>28012850.571322702</v>
      </c>
      <c r="BJ39" s="343">
        <v>17</v>
      </c>
      <c r="BK39" s="671">
        <f>SUM('Schedule 3B_Income_Eastern:Schedule 3D_Income_The Cape'!BK39)</f>
        <v>29992.099999999973</v>
      </c>
      <c r="BL39" s="671">
        <f>SUM('Schedule 3B_Income_Eastern:Schedule 3D_Income_The Cape'!BL39)</f>
        <v>91868.979999999792</v>
      </c>
      <c r="BM39" s="671">
        <f>SUM('Schedule 3B_Income_Eastern:Schedule 3D_Income_The Cape'!BM39)</f>
        <v>26869.08204939399</v>
      </c>
      <c r="BN39" s="671">
        <f>SUM('Schedule 3B_Income_Eastern:Schedule 3D_Income_The Cape'!BN39)</f>
        <v>59938.45069733102</v>
      </c>
      <c r="BO39" s="671">
        <f>SUM('Schedule 3B_Income_Eastern:Schedule 3D_Income_The Cape'!BO39)</f>
        <v>18727.984205815603</v>
      </c>
      <c r="BP39" s="671">
        <f>SUM('Schedule 3B_Income_Eastern:Schedule 3D_Income_The Cape'!BP39)</f>
        <v>51339.067674981932</v>
      </c>
      <c r="BQ39" s="671">
        <f>SUM('Schedule 3B_Income_Eastern:Schedule 3D_Income_The Cape'!BQ39)</f>
        <v>30575.816713411747</v>
      </c>
      <c r="BR39" s="671">
        <f>SUM('Schedule 3B_Income_Eastern:Schedule 3D_Income_The Cape'!BR39)</f>
        <v>58454.734833231196</v>
      </c>
      <c r="BS39" s="672">
        <f t="shared" si="98"/>
        <v>367766.21617416525</v>
      </c>
      <c r="BT39" s="673">
        <f>SUM('Schedule 3B_Income_Eastern:Schedule 3D_Income_The Cape'!BT39)</f>
        <v>0</v>
      </c>
      <c r="BU39" s="671">
        <f>SUM('Schedule 3B_Income_Eastern:Schedule 3D_Income_The Cape'!BU39)</f>
        <v>249555.49999999991</v>
      </c>
      <c r="BV39" s="671">
        <f>SUM('Schedule 3B_Income_Eastern:Schedule 3D_Income_The Cape'!BV39)</f>
        <v>0</v>
      </c>
      <c r="BW39" s="671">
        <f>SUM('Schedule 3B_Income_Eastern:Schedule 3D_Income_The Cape'!BW39)</f>
        <v>263131.42805715383</v>
      </c>
      <c r="BX39" s="671">
        <f>SUM('Schedule 3B_Income_Eastern:Schedule 3D_Income_The Cape'!BX39)</f>
        <v>0</v>
      </c>
      <c r="BY39" s="671">
        <f>SUM('Schedule 3B_Income_Eastern:Schedule 3D_Income_The Cape'!BY39)</f>
        <v>256667.74824119924</v>
      </c>
      <c r="BZ39" s="671">
        <f>SUM('Schedule 3B_Income_Eastern:Schedule 3D_Income_The Cape'!BZ39)</f>
        <v>0</v>
      </c>
      <c r="CA39" s="671">
        <f>SUM('Schedule 3B_Income_Eastern:Schedule 3D_Income_The Cape'!CA39)</f>
        <v>330490.52251218283</v>
      </c>
      <c r="CB39" s="674">
        <f t="shared" si="99"/>
        <v>1099845.1988105357</v>
      </c>
      <c r="CC39" s="675">
        <f t="shared" si="100"/>
        <v>1467611.414984701</v>
      </c>
      <c r="CD39" s="343">
        <v>17</v>
      </c>
      <c r="CE39" s="462">
        <f t="shared" si="101"/>
        <v>3574910.7599999951</v>
      </c>
      <c r="CF39" s="462">
        <f t="shared" si="102"/>
        <v>3239176.2583607766</v>
      </c>
      <c r="CG39" s="462">
        <f t="shared" si="103"/>
        <v>3470518.9681013282</v>
      </c>
      <c r="CH39" s="462">
        <f t="shared" si="104"/>
        <v>3531060.676978339</v>
      </c>
      <c r="CI39" s="464">
        <f t="shared" si="105"/>
        <v>13815666.663440438</v>
      </c>
      <c r="CJ39" s="462">
        <f t="shared" si="106"/>
        <v>5428386.6400000034</v>
      </c>
      <c r="CK39" s="462">
        <f t="shared" si="107"/>
        <v>6172975.6535587423</v>
      </c>
      <c r="CL39" s="462">
        <f t="shared" si="108"/>
        <v>6496631.8099044971</v>
      </c>
      <c r="CM39" s="462">
        <f t="shared" si="109"/>
        <v>6859894.4443717021</v>
      </c>
      <c r="CN39" s="464">
        <f t="shared" si="110"/>
        <v>24957888.547834944</v>
      </c>
      <c r="CO39" s="462">
        <f t="shared" si="111"/>
        <v>9003297.3999999985</v>
      </c>
      <c r="CP39" s="462">
        <f t="shared" si="112"/>
        <v>9412151.9119195193</v>
      </c>
      <c r="CQ39" s="462">
        <f t="shared" si="113"/>
        <v>9967150.7780058254</v>
      </c>
      <c r="CR39" s="462">
        <f t="shared" si="114"/>
        <v>10390955.121350041</v>
      </c>
      <c r="CS39" s="464">
        <f t="shared" si="115"/>
        <v>38773555.211275384</v>
      </c>
    </row>
    <row r="40" spans="1:101" ht="15.75" customHeight="1" x14ac:dyDescent="0.25">
      <c r="A40" s="94" t="s">
        <v>236</v>
      </c>
      <c r="B40" s="343">
        <v>18</v>
      </c>
      <c r="C40" s="671">
        <f>SUM('Schedule 3B_Income_Eastern:Schedule 3D_Income_The Cape'!C40)</f>
        <v>14158.879999999986</v>
      </c>
      <c r="D40" s="671">
        <f>SUM('Schedule 3B_Income_Eastern:Schedule 3D_Income_The Cape'!D40)</f>
        <v>58861.559999999918</v>
      </c>
      <c r="E40" s="671">
        <f>SUM('Schedule 3B_Income_Eastern:Schedule 3D_Income_The Cape'!E40)</f>
        <v>26456.989074168068</v>
      </c>
      <c r="F40" s="671">
        <f>SUM('Schedule 3B_Income_Eastern:Schedule 3D_Income_The Cape'!F40)</f>
        <v>85187.713823476253</v>
      </c>
      <c r="G40" s="671">
        <f>SUM('Schedule 3B_Income_Eastern:Schedule 3D_Income_The Cape'!G40)</f>
        <v>23438.346311091653</v>
      </c>
      <c r="H40" s="671">
        <f>SUM('Schedule 3B_Income_Eastern:Schedule 3D_Income_The Cape'!H40)</f>
        <v>84266.390962613397</v>
      </c>
      <c r="I40" s="671">
        <f>SUM('Schedule 3B_Income_Eastern:Schedule 3D_Income_The Cape'!I40)</f>
        <v>24097.895067261958</v>
      </c>
      <c r="J40" s="671">
        <f>SUM('Schedule 3B_Income_Eastern:Schedule 3D_Income_The Cape'!J40)</f>
        <v>74070.365972382569</v>
      </c>
      <c r="K40" s="672">
        <f t="shared" si="89"/>
        <v>390538.14121099375</v>
      </c>
      <c r="L40" s="673">
        <f>SUM('Schedule 3B_Income_Eastern:Schedule 3D_Income_The Cape'!L40)</f>
        <v>0</v>
      </c>
      <c r="M40" s="671">
        <f>SUM('Schedule 3B_Income_Eastern:Schedule 3D_Income_The Cape'!M40)</f>
        <v>0</v>
      </c>
      <c r="N40" s="671">
        <f>SUM('Schedule 3B_Income_Eastern:Schedule 3D_Income_The Cape'!N40)</f>
        <v>0</v>
      </c>
      <c r="O40" s="671">
        <f>SUM('Schedule 3B_Income_Eastern:Schedule 3D_Income_The Cape'!O40)</f>
        <v>0</v>
      </c>
      <c r="P40" s="671">
        <f>SUM('Schedule 3B_Income_Eastern:Schedule 3D_Income_The Cape'!P40)</f>
        <v>0</v>
      </c>
      <c r="Q40" s="671">
        <f>SUM('Schedule 3B_Income_Eastern:Schedule 3D_Income_The Cape'!Q40)</f>
        <v>0</v>
      </c>
      <c r="R40" s="671">
        <f>SUM('Schedule 3B_Income_Eastern:Schedule 3D_Income_The Cape'!R40)</f>
        <v>0</v>
      </c>
      <c r="S40" s="671">
        <f>SUM('Schedule 3B_Income_Eastern:Schedule 3D_Income_The Cape'!S40)</f>
        <v>0</v>
      </c>
      <c r="T40" s="674">
        <f t="shared" si="90"/>
        <v>0</v>
      </c>
      <c r="U40" s="675">
        <f t="shared" si="91"/>
        <v>390538.14121099375</v>
      </c>
      <c r="V40" s="343">
        <v>18</v>
      </c>
      <c r="W40" s="671">
        <f>SUM('Schedule 3B_Income_Eastern:Schedule 3D_Income_The Cape'!W40)</f>
        <v>731.96999999999923</v>
      </c>
      <c r="X40" s="671">
        <f>SUM('Schedule 3B_Income_Eastern:Schedule 3D_Income_The Cape'!X40)</f>
        <v>8977.5199999999913</v>
      </c>
      <c r="Y40" s="671">
        <f>SUM('Schedule 3B_Income_Eastern:Schedule 3D_Income_The Cape'!Y40)</f>
        <v>967.28087314406321</v>
      </c>
      <c r="Z40" s="671">
        <f>SUM('Schedule 3B_Income_Eastern:Schedule 3D_Income_The Cape'!Z40)</f>
        <v>13504.818353586999</v>
      </c>
      <c r="AA40" s="671">
        <f>SUM('Schedule 3B_Income_Eastern:Schedule 3D_Income_The Cape'!AA40)</f>
        <v>1046.3120987810028</v>
      </c>
      <c r="AB40" s="671">
        <f>SUM('Schedule 3B_Income_Eastern:Schedule 3D_Income_The Cape'!AB40)</f>
        <v>10523.53309714159</v>
      </c>
      <c r="AC40" s="671">
        <f>SUM('Schedule 3B_Income_Eastern:Schedule 3D_Income_The Cape'!AC40)</f>
        <v>1421.4290733379785</v>
      </c>
      <c r="AD40" s="671">
        <f>SUM('Schedule 3B_Income_Eastern:Schedule 3D_Income_The Cape'!AD40)</f>
        <v>13045.357510189187</v>
      </c>
      <c r="AE40" s="672">
        <f t="shared" si="92"/>
        <v>50218.221006180815</v>
      </c>
      <c r="AF40" s="673">
        <f>SUM('Schedule 3B_Income_Eastern:Schedule 3D_Income_The Cape'!AF40)</f>
        <v>0</v>
      </c>
      <c r="AG40" s="671">
        <f>SUM('Schedule 3B_Income_Eastern:Schedule 3D_Income_The Cape'!AG40)</f>
        <v>0</v>
      </c>
      <c r="AH40" s="671">
        <f>SUM('Schedule 3B_Income_Eastern:Schedule 3D_Income_The Cape'!AH40)</f>
        <v>0</v>
      </c>
      <c r="AI40" s="671">
        <f>SUM('Schedule 3B_Income_Eastern:Schedule 3D_Income_The Cape'!AI40)</f>
        <v>0</v>
      </c>
      <c r="AJ40" s="671">
        <f>SUM('Schedule 3B_Income_Eastern:Schedule 3D_Income_The Cape'!AJ40)</f>
        <v>0</v>
      </c>
      <c r="AK40" s="671">
        <f>SUM('Schedule 3B_Income_Eastern:Schedule 3D_Income_The Cape'!AK40)</f>
        <v>0</v>
      </c>
      <c r="AL40" s="671">
        <f>SUM('Schedule 3B_Income_Eastern:Schedule 3D_Income_The Cape'!AL40)</f>
        <v>0</v>
      </c>
      <c r="AM40" s="671">
        <f>SUM('Schedule 3B_Income_Eastern:Schedule 3D_Income_The Cape'!AM40)</f>
        <v>0</v>
      </c>
      <c r="AN40" s="674">
        <f t="shared" si="93"/>
        <v>0</v>
      </c>
      <c r="AO40" s="675">
        <f t="shared" si="94"/>
        <v>50218.221006180815</v>
      </c>
      <c r="AP40" s="343">
        <v>18</v>
      </c>
      <c r="AQ40" s="671">
        <f>SUM('Schedule 3B_Income_Eastern:Schedule 3D_Income_The Cape'!AQ40)</f>
        <v>55488.329999999944</v>
      </c>
      <c r="AR40" s="671">
        <f>SUM('Schedule 3B_Income_Eastern:Schedule 3D_Income_The Cape'!AR40)</f>
        <v>174426.58999999979</v>
      </c>
      <c r="AS40" s="671">
        <f>SUM('Schedule 3B_Income_Eastern:Schedule 3D_Income_The Cape'!AS40)</f>
        <v>60351.953819614515</v>
      </c>
      <c r="AT40" s="671">
        <f>SUM('Schedule 3B_Income_Eastern:Schedule 3D_Income_The Cape'!AT40)</f>
        <v>187464.96983442141</v>
      </c>
      <c r="AU40" s="671">
        <f>SUM('Schedule 3B_Income_Eastern:Schedule 3D_Income_The Cape'!AU40)</f>
        <v>68739.297258417515</v>
      </c>
      <c r="AV40" s="671">
        <f>SUM('Schedule 3B_Income_Eastern:Schedule 3D_Income_The Cape'!AV40)</f>
        <v>200811.70393597489</v>
      </c>
      <c r="AW40" s="671">
        <f>SUM('Schedule 3B_Income_Eastern:Schedule 3D_Income_The Cape'!AW40)</f>
        <v>87009.136913567112</v>
      </c>
      <c r="AX40" s="671">
        <f>SUM('Schedule 3B_Income_Eastern:Schedule 3D_Income_The Cape'!AX40)</f>
        <v>226078.21669561646</v>
      </c>
      <c r="AY40" s="672">
        <f t="shared" si="95"/>
        <v>1060370.1984576115</v>
      </c>
      <c r="AZ40" s="673">
        <f>SUM('Schedule 3B_Income_Eastern:Schedule 3D_Income_The Cape'!AZ40)</f>
        <v>0</v>
      </c>
      <c r="BA40" s="671">
        <f>SUM('Schedule 3B_Income_Eastern:Schedule 3D_Income_The Cape'!BA40)</f>
        <v>0</v>
      </c>
      <c r="BB40" s="671">
        <f>SUM('Schedule 3B_Income_Eastern:Schedule 3D_Income_The Cape'!BB40)</f>
        <v>0</v>
      </c>
      <c r="BC40" s="671">
        <f>SUM('Schedule 3B_Income_Eastern:Schedule 3D_Income_The Cape'!BC40)</f>
        <v>0</v>
      </c>
      <c r="BD40" s="671">
        <f>SUM('Schedule 3B_Income_Eastern:Schedule 3D_Income_The Cape'!BD40)</f>
        <v>0</v>
      </c>
      <c r="BE40" s="671">
        <f>SUM('Schedule 3B_Income_Eastern:Schedule 3D_Income_The Cape'!BE40)</f>
        <v>0</v>
      </c>
      <c r="BF40" s="671">
        <f>SUM('Schedule 3B_Income_Eastern:Schedule 3D_Income_The Cape'!BF40)</f>
        <v>0</v>
      </c>
      <c r="BG40" s="671">
        <f>SUM('Schedule 3B_Income_Eastern:Schedule 3D_Income_The Cape'!BG40)</f>
        <v>0</v>
      </c>
      <c r="BH40" s="674">
        <f t="shared" si="96"/>
        <v>0</v>
      </c>
      <c r="BI40" s="675">
        <f t="shared" si="97"/>
        <v>1060370.1984576115</v>
      </c>
      <c r="BJ40" s="343">
        <v>18</v>
      </c>
      <c r="BK40" s="671">
        <f>SUM('Schedule 3B_Income_Eastern:Schedule 3D_Income_The Cape'!BK40)</f>
        <v>499.00999999999948</v>
      </c>
      <c r="BL40" s="671">
        <f>SUM('Schedule 3B_Income_Eastern:Schedule 3D_Income_The Cape'!BL40)</f>
        <v>6838.389999999994</v>
      </c>
      <c r="BM40" s="671">
        <f>SUM('Schedule 3B_Income_Eastern:Schedule 3D_Income_The Cape'!BM40)</f>
        <v>358.08734323417752</v>
      </c>
      <c r="BN40" s="671">
        <f>SUM('Schedule 3B_Income_Eastern:Schedule 3D_Income_The Cape'!BN40)</f>
        <v>6557.3538353951517</v>
      </c>
      <c r="BO40" s="671">
        <f>SUM('Schedule 3B_Income_Eastern:Schedule 3D_Income_The Cape'!BO40)</f>
        <v>553.26196795594922</v>
      </c>
      <c r="BP40" s="671">
        <f>SUM('Schedule 3B_Income_Eastern:Schedule 3D_Income_The Cape'!BP40)</f>
        <v>7990.019663418565</v>
      </c>
      <c r="BQ40" s="671">
        <f>SUM('Schedule 3B_Income_Eastern:Schedule 3D_Income_The Cape'!BQ40)</f>
        <v>586.62327785805269</v>
      </c>
      <c r="BR40" s="671">
        <f>SUM('Schedule 3B_Income_Eastern:Schedule 3D_Income_The Cape'!BR40)</f>
        <v>6695.2975184146053</v>
      </c>
      <c r="BS40" s="672">
        <f t="shared" si="98"/>
        <v>30078.043606276493</v>
      </c>
      <c r="BT40" s="673">
        <f>SUM('Schedule 3B_Income_Eastern:Schedule 3D_Income_The Cape'!BT40)</f>
        <v>0</v>
      </c>
      <c r="BU40" s="671">
        <f>SUM('Schedule 3B_Income_Eastern:Schedule 3D_Income_The Cape'!BU40)</f>
        <v>0</v>
      </c>
      <c r="BV40" s="671">
        <f>SUM('Schedule 3B_Income_Eastern:Schedule 3D_Income_The Cape'!BV40)</f>
        <v>0</v>
      </c>
      <c r="BW40" s="671">
        <f>SUM('Schedule 3B_Income_Eastern:Schedule 3D_Income_The Cape'!BW40)</f>
        <v>0</v>
      </c>
      <c r="BX40" s="671">
        <f>SUM('Schedule 3B_Income_Eastern:Schedule 3D_Income_The Cape'!BX40)</f>
        <v>0</v>
      </c>
      <c r="BY40" s="671">
        <f>SUM('Schedule 3B_Income_Eastern:Schedule 3D_Income_The Cape'!BY40)</f>
        <v>0</v>
      </c>
      <c r="BZ40" s="671">
        <f>SUM('Schedule 3B_Income_Eastern:Schedule 3D_Income_The Cape'!BZ40)</f>
        <v>0</v>
      </c>
      <c r="CA40" s="671">
        <f>SUM('Schedule 3B_Income_Eastern:Schedule 3D_Income_The Cape'!CA40)</f>
        <v>0</v>
      </c>
      <c r="CB40" s="674">
        <f t="shared" si="99"/>
        <v>0</v>
      </c>
      <c r="CC40" s="675">
        <f t="shared" si="100"/>
        <v>30078.043606276493</v>
      </c>
      <c r="CD40" s="343">
        <v>18</v>
      </c>
      <c r="CE40" s="462">
        <f t="shared" si="101"/>
        <v>319982.24999999965</v>
      </c>
      <c r="CF40" s="462">
        <f t="shared" si="102"/>
        <v>380849.16695704061</v>
      </c>
      <c r="CG40" s="462">
        <f t="shared" si="103"/>
        <v>397368.86529539461</v>
      </c>
      <c r="CH40" s="462">
        <f t="shared" si="104"/>
        <v>433004.32202862797</v>
      </c>
      <c r="CI40" s="464">
        <f t="shared" si="105"/>
        <v>1531204.6042810625</v>
      </c>
      <c r="CJ40" s="462">
        <f t="shared" si="106"/>
        <v>0</v>
      </c>
      <c r="CK40" s="462">
        <f t="shared" si="107"/>
        <v>0</v>
      </c>
      <c r="CL40" s="462">
        <f t="shared" si="108"/>
        <v>0</v>
      </c>
      <c r="CM40" s="462">
        <f t="shared" si="109"/>
        <v>0</v>
      </c>
      <c r="CN40" s="464">
        <f t="shared" si="110"/>
        <v>0</v>
      </c>
      <c r="CO40" s="462">
        <f t="shared" si="111"/>
        <v>319982.24999999965</v>
      </c>
      <c r="CP40" s="462">
        <f t="shared" si="112"/>
        <v>380849.16695704061</v>
      </c>
      <c r="CQ40" s="462">
        <f t="shared" si="113"/>
        <v>397368.86529539461</v>
      </c>
      <c r="CR40" s="462">
        <f t="shared" si="114"/>
        <v>433004.32202862797</v>
      </c>
      <c r="CS40" s="464">
        <f t="shared" si="115"/>
        <v>1531204.6042810625</v>
      </c>
    </row>
    <row r="41" spans="1:101" ht="15.75" customHeight="1" x14ac:dyDescent="0.25">
      <c r="A41" s="94" t="s">
        <v>201</v>
      </c>
      <c r="B41" s="343">
        <v>19</v>
      </c>
      <c r="C41" s="671">
        <f>SUM('Schedule 3B_Income_Eastern:Schedule 3D_Income_The Cape'!C41)</f>
        <v>276594.91000000003</v>
      </c>
      <c r="D41" s="671">
        <f>SUM('Schedule 3B_Income_Eastern:Schedule 3D_Income_The Cape'!D41)</f>
        <v>972797.09000000008</v>
      </c>
      <c r="E41" s="671">
        <f>SUM('Schedule 3B_Income_Eastern:Schedule 3D_Income_The Cape'!E41)</f>
        <v>311564</v>
      </c>
      <c r="F41" s="671">
        <f>SUM('Schedule 3B_Income_Eastern:Schedule 3D_Income_The Cape'!F41)</f>
        <v>1187149.0915580986</v>
      </c>
      <c r="G41" s="671">
        <f>SUM('Schedule 3B_Income_Eastern:Schedule 3D_Income_The Cape'!G41)</f>
        <v>251281.63</v>
      </c>
      <c r="H41" s="671">
        <f>SUM('Schedule 3B_Income_Eastern:Schedule 3D_Income_The Cape'!H41)</f>
        <v>1102742.4465632988</v>
      </c>
      <c r="I41" s="671">
        <f>SUM('Schedule 3B_Income_Eastern:Schedule 3D_Income_The Cape'!I41)</f>
        <v>315296</v>
      </c>
      <c r="J41" s="671">
        <f>SUM('Schedule 3B_Income_Eastern:Schedule 3D_Income_The Cape'!J41)</f>
        <v>1271674.8044475599</v>
      </c>
      <c r="K41" s="672">
        <f t="shared" si="89"/>
        <v>5689099.9725689571</v>
      </c>
      <c r="L41" s="673">
        <f>SUM('Schedule 3B_Income_Eastern:Schedule 3D_Income_The Cape'!L41)</f>
        <v>0</v>
      </c>
      <c r="M41" s="671">
        <f>SUM('Schedule 3B_Income_Eastern:Schedule 3D_Income_The Cape'!M41)</f>
        <v>1648.3500000000001</v>
      </c>
      <c r="N41" s="671">
        <f>SUM('Schedule 3B_Income_Eastern:Schedule 3D_Income_The Cape'!N41)</f>
        <v>0</v>
      </c>
      <c r="O41" s="671">
        <f>SUM('Schedule 3B_Income_Eastern:Schedule 3D_Income_The Cape'!O41)</f>
        <v>587.95460322590679</v>
      </c>
      <c r="P41" s="671">
        <f>SUM('Schedule 3B_Income_Eastern:Schedule 3D_Income_The Cape'!P41)</f>
        <v>0</v>
      </c>
      <c r="Q41" s="671">
        <f>SUM('Schedule 3B_Income_Eastern:Schedule 3D_Income_The Cape'!Q41)</f>
        <v>163.39781687934948</v>
      </c>
      <c r="R41" s="671">
        <f>SUM('Schedule 3B_Income_Eastern:Schedule 3D_Income_The Cape'!R41)</f>
        <v>0</v>
      </c>
      <c r="S41" s="671">
        <f>SUM('Schedule 3B_Income_Eastern:Schedule 3D_Income_The Cape'!S41)</f>
        <v>97.740702239022568</v>
      </c>
      <c r="T41" s="674">
        <f t="shared" si="90"/>
        <v>2497.4431223442793</v>
      </c>
      <c r="U41" s="675">
        <f t="shared" si="91"/>
        <v>5691597.4156913012</v>
      </c>
      <c r="V41" s="343">
        <v>19</v>
      </c>
      <c r="W41" s="671">
        <f>SUM('Schedule 3B_Income_Eastern:Schedule 3D_Income_The Cape'!W41)</f>
        <v>23618</v>
      </c>
      <c r="X41" s="671">
        <f>SUM('Schedule 3B_Income_Eastern:Schedule 3D_Income_The Cape'!X41)</f>
        <v>208696.95</v>
      </c>
      <c r="Y41" s="671">
        <f>SUM('Schedule 3B_Income_Eastern:Schedule 3D_Income_The Cape'!Y41)</f>
        <v>6322</v>
      </c>
      <c r="Z41" s="671">
        <f>SUM('Schedule 3B_Income_Eastern:Schedule 3D_Income_The Cape'!Z41)</f>
        <v>220509.21210782506</v>
      </c>
      <c r="AA41" s="671">
        <f>SUM('Schedule 3B_Income_Eastern:Schedule 3D_Income_The Cape'!AA41)</f>
        <v>3037</v>
      </c>
      <c r="AB41" s="671">
        <f>SUM('Schedule 3B_Income_Eastern:Schedule 3D_Income_The Cape'!AB41)</f>
        <v>176192.75206389703</v>
      </c>
      <c r="AC41" s="671">
        <f>SUM('Schedule 3B_Income_Eastern:Schedule 3D_Income_The Cape'!AC41)</f>
        <v>1589</v>
      </c>
      <c r="AD41" s="671">
        <f>SUM('Schedule 3B_Income_Eastern:Schedule 3D_Income_The Cape'!AD41)</f>
        <v>200569.20485312401</v>
      </c>
      <c r="AE41" s="672">
        <f t="shared" si="92"/>
        <v>840534.119024846</v>
      </c>
      <c r="AF41" s="673">
        <f>SUM('Schedule 3B_Income_Eastern:Schedule 3D_Income_The Cape'!AF41)</f>
        <v>0</v>
      </c>
      <c r="AG41" s="671">
        <f>SUM('Schedule 3B_Income_Eastern:Schedule 3D_Income_The Cape'!AG41)</f>
        <v>216.56</v>
      </c>
      <c r="AH41" s="671">
        <f>SUM('Schedule 3B_Income_Eastern:Schedule 3D_Income_The Cape'!AH41)</f>
        <v>0</v>
      </c>
      <c r="AI41" s="671">
        <f>SUM('Schedule 3B_Income_Eastern:Schedule 3D_Income_The Cape'!AI41)</f>
        <v>79.277813501682402</v>
      </c>
      <c r="AJ41" s="671">
        <f>SUM('Schedule 3B_Income_Eastern:Schedule 3D_Income_The Cape'!AJ41)</f>
        <v>0</v>
      </c>
      <c r="AK41" s="671">
        <f>SUM('Schedule 3B_Income_Eastern:Schedule 3D_Income_The Cape'!AK41)</f>
        <v>1509.5791678765092</v>
      </c>
      <c r="AL41" s="671">
        <f>SUM('Schedule 3B_Income_Eastern:Schedule 3D_Income_The Cape'!AL41)</f>
        <v>0</v>
      </c>
      <c r="AM41" s="671">
        <f>SUM('Schedule 3B_Income_Eastern:Schedule 3D_Income_The Cape'!AM41)</f>
        <v>228.88530560441421</v>
      </c>
      <c r="AN41" s="674">
        <f t="shared" si="93"/>
        <v>2034.3022869826059</v>
      </c>
      <c r="AO41" s="675">
        <f t="shared" si="94"/>
        <v>842568.42131182866</v>
      </c>
      <c r="AP41" s="343">
        <v>19</v>
      </c>
      <c r="AQ41" s="671">
        <f>SUM('Schedule 3B_Income_Eastern:Schedule 3D_Income_The Cape'!AQ41)</f>
        <v>570412.26</v>
      </c>
      <c r="AR41" s="671">
        <f>SUM('Schedule 3B_Income_Eastern:Schedule 3D_Income_The Cape'!AR41)</f>
        <v>1894986.9100000001</v>
      </c>
      <c r="AS41" s="671">
        <f>SUM('Schedule 3B_Income_Eastern:Schedule 3D_Income_The Cape'!AS41)</f>
        <v>740043.06888281682</v>
      </c>
      <c r="AT41" s="671">
        <f>SUM('Schedule 3B_Income_Eastern:Schedule 3D_Income_The Cape'!AT41)</f>
        <v>1979529.9571776607</v>
      </c>
      <c r="AU41" s="671">
        <f>SUM('Schedule 3B_Income_Eastern:Schedule 3D_Income_The Cape'!AU41)</f>
        <v>719554.54746493569</v>
      </c>
      <c r="AV41" s="671">
        <f>SUM('Schedule 3B_Income_Eastern:Schedule 3D_Income_The Cape'!AV41)</f>
        <v>2070861.2400646959</v>
      </c>
      <c r="AW41" s="671">
        <f>SUM('Schedule 3B_Income_Eastern:Schedule 3D_Income_The Cape'!AW41)</f>
        <v>882957.82</v>
      </c>
      <c r="AX41" s="671">
        <f>SUM('Schedule 3B_Income_Eastern:Schedule 3D_Income_The Cape'!AX41)</f>
        <v>2383703.9744068203</v>
      </c>
      <c r="AY41" s="672">
        <f t="shared" si="95"/>
        <v>11242049.777996929</v>
      </c>
      <c r="AZ41" s="673">
        <f>SUM('Schedule 3B_Income_Eastern:Schedule 3D_Income_The Cape'!AZ41)</f>
        <v>0</v>
      </c>
      <c r="BA41" s="671">
        <f>SUM('Schedule 3B_Income_Eastern:Schedule 3D_Income_The Cape'!BA41)</f>
        <v>1008.2000000000002</v>
      </c>
      <c r="BB41" s="671">
        <f>SUM('Schedule 3B_Income_Eastern:Schedule 3D_Income_The Cape'!BB41)</f>
        <v>0</v>
      </c>
      <c r="BC41" s="671">
        <f>SUM('Schedule 3B_Income_Eastern:Schedule 3D_Income_The Cape'!BC41)</f>
        <v>272.22418201776748</v>
      </c>
      <c r="BD41" s="671">
        <f>SUM('Schedule 3B_Income_Eastern:Schedule 3D_Income_The Cape'!BD41)</f>
        <v>0</v>
      </c>
      <c r="BE41" s="671">
        <f>SUM('Schedule 3B_Income_Eastern:Schedule 3D_Income_The Cape'!BE41)</f>
        <v>3034.4850309151821</v>
      </c>
      <c r="BF41" s="671">
        <f>SUM('Schedule 3B_Income_Eastern:Schedule 3D_Income_The Cape'!BF41)</f>
        <v>0</v>
      </c>
      <c r="BG41" s="671">
        <f>SUM('Schedule 3B_Income_Eastern:Schedule 3D_Income_The Cape'!BG41)</f>
        <v>1544.6278555263966</v>
      </c>
      <c r="BH41" s="674">
        <f t="shared" si="96"/>
        <v>5859.5370684593454</v>
      </c>
      <c r="BI41" s="675">
        <f t="shared" si="97"/>
        <v>11247909.315065389</v>
      </c>
      <c r="BJ41" s="343">
        <v>19</v>
      </c>
      <c r="BK41" s="671">
        <f>SUM('Schedule 3B_Income_Eastern:Schedule 3D_Income_The Cape'!BK41)</f>
        <v>53</v>
      </c>
      <c r="BL41" s="671">
        <f>SUM('Schedule 3B_Income_Eastern:Schedule 3D_Income_The Cape'!BL41)</f>
        <v>9893.4</v>
      </c>
      <c r="BM41" s="671">
        <f>SUM('Schedule 3B_Income_Eastern:Schedule 3D_Income_The Cape'!BM41)</f>
        <v>53</v>
      </c>
      <c r="BN41" s="671">
        <f>SUM('Schedule 3B_Income_Eastern:Schedule 3D_Income_The Cape'!BN41)</f>
        <v>6929.8</v>
      </c>
      <c r="BO41" s="671">
        <f>SUM('Schedule 3B_Income_Eastern:Schedule 3D_Income_The Cape'!BO41)</f>
        <v>115</v>
      </c>
      <c r="BP41" s="671">
        <f>SUM('Schedule 3B_Income_Eastern:Schedule 3D_Income_The Cape'!BP41)</f>
        <v>9175</v>
      </c>
      <c r="BQ41" s="671">
        <f>SUM('Schedule 3B_Income_Eastern:Schedule 3D_Income_The Cape'!BQ41)</f>
        <v>248</v>
      </c>
      <c r="BR41" s="671">
        <f>SUM('Schedule 3B_Income_Eastern:Schedule 3D_Income_The Cape'!BR41)</f>
        <v>15323.375040829418</v>
      </c>
      <c r="BS41" s="672">
        <f t="shared" si="98"/>
        <v>41790.575040829419</v>
      </c>
      <c r="BT41" s="673">
        <f>SUM('Schedule 3B_Income_Eastern:Schedule 3D_Income_The Cape'!BT41)</f>
        <v>0</v>
      </c>
      <c r="BU41" s="671">
        <f>SUM('Schedule 3B_Income_Eastern:Schedule 3D_Income_The Cape'!BU41)</f>
        <v>0</v>
      </c>
      <c r="BV41" s="671">
        <f>SUM('Schedule 3B_Income_Eastern:Schedule 3D_Income_The Cape'!BV41)</f>
        <v>0</v>
      </c>
      <c r="BW41" s="671">
        <f>SUM('Schedule 3B_Income_Eastern:Schedule 3D_Income_The Cape'!BW41)</f>
        <v>0</v>
      </c>
      <c r="BX41" s="671">
        <f>SUM('Schedule 3B_Income_Eastern:Schedule 3D_Income_The Cape'!BX41)</f>
        <v>0</v>
      </c>
      <c r="BY41" s="671">
        <f>SUM('Schedule 3B_Income_Eastern:Schedule 3D_Income_The Cape'!BY41)</f>
        <v>0</v>
      </c>
      <c r="BZ41" s="671">
        <f>SUM('Schedule 3B_Income_Eastern:Schedule 3D_Income_The Cape'!BZ41)</f>
        <v>0</v>
      </c>
      <c r="CA41" s="671">
        <f>SUM('Schedule 3B_Income_Eastern:Schedule 3D_Income_The Cape'!CA41)</f>
        <v>88.421497939274687</v>
      </c>
      <c r="CB41" s="674">
        <f t="shared" si="99"/>
        <v>88.421497939274687</v>
      </c>
      <c r="CC41" s="675">
        <f t="shared" si="100"/>
        <v>41878.996538768697</v>
      </c>
      <c r="CD41" s="343">
        <v>19</v>
      </c>
      <c r="CE41" s="462">
        <f t="shared" si="101"/>
        <v>3957052.52</v>
      </c>
      <c r="CF41" s="462">
        <f t="shared" si="102"/>
        <v>4452100.1297264006</v>
      </c>
      <c r="CG41" s="462">
        <f t="shared" si="103"/>
        <v>4332959.6161568277</v>
      </c>
      <c r="CH41" s="462">
        <f t="shared" si="104"/>
        <v>5071362.1787483338</v>
      </c>
      <c r="CI41" s="464">
        <f t="shared" si="105"/>
        <v>17813474.444631562</v>
      </c>
      <c r="CJ41" s="462">
        <f t="shared" si="106"/>
        <v>2873.11</v>
      </c>
      <c r="CK41" s="462">
        <f t="shared" si="107"/>
        <v>939.4565987453567</v>
      </c>
      <c r="CL41" s="462">
        <f t="shared" si="108"/>
        <v>4707.4620156710407</v>
      </c>
      <c r="CM41" s="462">
        <f t="shared" si="109"/>
        <v>1959.6753613091082</v>
      </c>
      <c r="CN41" s="464">
        <f t="shared" si="110"/>
        <v>10479.703975725504</v>
      </c>
      <c r="CO41" s="462">
        <f t="shared" si="111"/>
        <v>3959925.6300000004</v>
      </c>
      <c r="CP41" s="462">
        <f t="shared" si="112"/>
        <v>4453039.5863251463</v>
      </c>
      <c r="CQ41" s="462">
        <f t="shared" si="113"/>
        <v>4337667.0781724993</v>
      </c>
      <c r="CR41" s="462">
        <f t="shared" si="114"/>
        <v>5073321.8541096421</v>
      </c>
      <c r="CS41" s="464">
        <f t="shared" si="115"/>
        <v>17823954.148607291</v>
      </c>
      <c r="CU41" s="362"/>
      <c r="CV41" s="812"/>
    </row>
    <row r="42" spans="1:101" ht="15.75" customHeight="1" x14ac:dyDescent="0.25">
      <c r="A42" s="94" t="s">
        <v>239</v>
      </c>
      <c r="B42" s="343">
        <v>20</v>
      </c>
      <c r="C42" s="671">
        <f>SUM('Schedule 3B_Income_Eastern:Schedule 3D_Income_The Cape'!C42)</f>
        <v>20520.549999999981</v>
      </c>
      <c r="D42" s="671">
        <f>SUM('Schedule 3B_Income_Eastern:Schedule 3D_Income_The Cape'!D42)</f>
        <v>31896.329999999965</v>
      </c>
      <c r="E42" s="671">
        <f>SUM('Schedule 3B_Income_Eastern:Schedule 3D_Income_The Cape'!E42)</f>
        <v>12585.552487700783</v>
      </c>
      <c r="F42" s="671">
        <f>SUM('Schedule 3B_Income_Eastern:Schedule 3D_Income_The Cape'!F42)</f>
        <v>21490.131104058793</v>
      </c>
      <c r="G42" s="671">
        <f>SUM('Schedule 3B_Income_Eastern:Schedule 3D_Income_The Cape'!G42)</f>
        <v>19715.967026151993</v>
      </c>
      <c r="H42" s="671">
        <f>SUM('Schedule 3B_Income_Eastern:Schedule 3D_Income_The Cape'!H42)</f>
        <v>28933.304803315496</v>
      </c>
      <c r="I42" s="671">
        <f>SUM('Schedule 3B_Income_Eastern:Schedule 3D_Income_The Cape'!I42)</f>
        <v>13378.338737648324</v>
      </c>
      <c r="J42" s="671">
        <f>SUM('Schedule 3B_Income_Eastern:Schedule 3D_Income_The Cape'!J42)</f>
        <v>33102.826310072574</v>
      </c>
      <c r="K42" s="672">
        <f t="shared" si="89"/>
        <v>181623.00046894792</v>
      </c>
      <c r="L42" s="673">
        <f>SUM('Schedule 3B_Income_Eastern:Schedule 3D_Income_The Cape'!L42)</f>
        <v>0</v>
      </c>
      <c r="M42" s="671">
        <f>SUM('Schedule 3B_Income_Eastern:Schedule 3D_Income_The Cape'!M42)</f>
        <v>21657.989999999998</v>
      </c>
      <c r="N42" s="671">
        <f>SUM('Schedule 3B_Income_Eastern:Schedule 3D_Income_The Cape'!N42)</f>
        <v>0</v>
      </c>
      <c r="O42" s="671">
        <f>SUM('Schedule 3B_Income_Eastern:Schedule 3D_Income_The Cape'!O42)</f>
        <v>32714.210374536007</v>
      </c>
      <c r="P42" s="671">
        <f>SUM('Schedule 3B_Income_Eastern:Schedule 3D_Income_The Cape'!P42)</f>
        <v>0</v>
      </c>
      <c r="Q42" s="671">
        <f>SUM('Schedule 3B_Income_Eastern:Schedule 3D_Income_The Cape'!Q42)</f>
        <v>47745.233283972688</v>
      </c>
      <c r="R42" s="671">
        <f>SUM('Schedule 3B_Income_Eastern:Schedule 3D_Income_The Cape'!R42)</f>
        <v>0</v>
      </c>
      <c r="S42" s="671">
        <f>SUM('Schedule 3B_Income_Eastern:Schedule 3D_Income_The Cape'!S42)</f>
        <v>42437.972065989095</v>
      </c>
      <c r="T42" s="674">
        <f t="shared" si="90"/>
        <v>144555.4057244978</v>
      </c>
      <c r="U42" s="675">
        <f t="shared" si="91"/>
        <v>326178.40619344573</v>
      </c>
      <c r="V42" s="343">
        <v>20</v>
      </c>
      <c r="W42" s="671">
        <f>SUM('Schedule 3B_Income_Eastern:Schedule 3D_Income_The Cape'!W42)</f>
        <v>0</v>
      </c>
      <c r="X42" s="671">
        <f>SUM('Schedule 3B_Income_Eastern:Schedule 3D_Income_The Cape'!X42)</f>
        <v>5289.0999999999949</v>
      </c>
      <c r="Y42" s="671">
        <f>SUM('Schedule 3B_Income_Eastern:Schedule 3D_Income_The Cape'!Y42)</f>
        <v>0</v>
      </c>
      <c r="Z42" s="671">
        <f>SUM('Schedule 3B_Income_Eastern:Schedule 3D_Income_The Cape'!Z42)</f>
        <v>5615.3756009435219</v>
      </c>
      <c r="AA42" s="671">
        <f>SUM('Schedule 3B_Income_Eastern:Schedule 3D_Income_The Cape'!AA42)</f>
        <v>0</v>
      </c>
      <c r="AB42" s="671">
        <f>SUM('Schedule 3B_Income_Eastern:Schedule 3D_Income_The Cape'!AB42)</f>
        <v>3576.8414767140716</v>
      </c>
      <c r="AC42" s="671">
        <f>SUM('Schedule 3B_Income_Eastern:Schedule 3D_Income_The Cape'!AC42)</f>
        <v>748.19729577182261</v>
      </c>
      <c r="AD42" s="671">
        <f>SUM('Schedule 3B_Income_Eastern:Schedule 3D_Income_The Cape'!AD42)</f>
        <v>3335.553330237155</v>
      </c>
      <c r="AE42" s="672">
        <f t="shared" si="92"/>
        <v>18565.067703666566</v>
      </c>
      <c r="AF42" s="673">
        <f>SUM('Schedule 3B_Income_Eastern:Schedule 3D_Income_The Cape'!AF42)</f>
        <v>0</v>
      </c>
      <c r="AG42" s="671">
        <f>SUM('Schedule 3B_Income_Eastern:Schedule 3D_Income_The Cape'!AG42)</f>
        <v>9914.2900000000009</v>
      </c>
      <c r="AH42" s="671">
        <f>SUM('Schedule 3B_Income_Eastern:Schedule 3D_Income_The Cape'!AH42)</f>
        <v>0</v>
      </c>
      <c r="AI42" s="671">
        <f>SUM('Schedule 3B_Income_Eastern:Schedule 3D_Income_The Cape'!AI42)</f>
        <v>11723.770761771581</v>
      </c>
      <c r="AJ42" s="671">
        <f>SUM('Schedule 3B_Income_Eastern:Schedule 3D_Income_The Cape'!AJ42)</f>
        <v>0</v>
      </c>
      <c r="AK42" s="671">
        <f>SUM('Schedule 3B_Income_Eastern:Schedule 3D_Income_The Cape'!AK42)</f>
        <v>9253.1210734488468</v>
      </c>
      <c r="AL42" s="671">
        <f>SUM('Schedule 3B_Income_Eastern:Schedule 3D_Income_The Cape'!AL42)</f>
        <v>0</v>
      </c>
      <c r="AM42" s="671">
        <f>SUM('Schedule 3B_Income_Eastern:Schedule 3D_Income_The Cape'!AM42)</f>
        <v>6701.5366348505268</v>
      </c>
      <c r="AN42" s="674">
        <f t="shared" si="93"/>
        <v>37592.718470070955</v>
      </c>
      <c r="AO42" s="675">
        <f t="shared" si="94"/>
        <v>56157.786173737521</v>
      </c>
      <c r="AP42" s="343">
        <v>20</v>
      </c>
      <c r="AQ42" s="671">
        <f>SUM('Schedule 3B_Income_Eastern:Schedule 3D_Income_The Cape'!AQ42)</f>
        <v>107904.38999999987</v>
      </c>
      <c r="AR42" s="671">
        <f>SUM('Schedule 3B_Income_Eastern:Schedule 3D_Income_The Cape'!AR42)</f>
        <v>133492.04999999993</v>
      </c>
      <c r="AS42" s="671">
        <f>SUM('Schedule 3B_Income_Eastern:Schedule 3D_Income_The Cape'!AS42)</f>
        <v>50089.673614983942</v>
      </c>
      <c r="AT42" s="671">
        <f>SUM('Schedule 3B_Income_Eastern:Schedule 3D_Income_The Cape'!AT42)</f>
        <v>92280.333479210283</v>
      </c>
      <c r="AU42" s="671">
        <f>SUM('Schedule 3B_Income_Eastern:Schedule 3D_Income_The Cape'!AU42)</f>
        <v>50667.835367222382</v>
      </c>
      <c r="AV42" s="671">
        <f>SUM('Schedule 3B_Income_Eastern:Schedule 3D_Income_The Cape'!AV42)</f>
        <v>97126.840287692074</v>
      </c>
      <c r="AW42" s="671">
        <f>SUM('Schedule 3B_Income_Eastern:Schedule 3D_Income_The Cape'!AW42)</f>
        <v>67181.531536057417</v>
      </c>
      <c r="AX42" s="671">
        <f>SUM('Schedule 3B_Income_Eastern:Schedule 3D_Income_The Cape'!AX42)</f>
        <v>108055.01239702431</v>
      </c>
      <c r="AY42" s="672">
        <f t="shared" si="95"/>
        <v>706797.66668219026</v>
      </c>
      <c r="AZ42" s="673">
        <f>SUM('Schedule 3B_Income_Eastern:Schedule 3D_Income_The Cape'!AZ42)</f>
        <v>0</v>
      </c>
      <c r="BA42" s="671">
        <f>SUM('Schedule 3B_Income_Eastern:Schedule 3D_Income_The Cape'!BA42)</f>
        <v>111311.40000000004</v>
      </c>
      <c r="BB42" s="671">
        <f>SUM('Schedule 3B_Income_Eastern:Schedule 3D_Income_The Cape'!BB42)</f>
        <v>0</v>
      </c>
      <c r="BC42" s="671">
        <f>SUM('Schedule 3B_Income_Eastern:Schedule 3D_Income_The Cape'!BC42)</f>
        <v>131783.10013702451</v>
      </c>
      <c r="BD42" s="671">
        <f>SUM('Schedule 3B_Income_Eastern:Schedule 3D_Income_The Cape'!BD42)</f>
        <v>0</v>
      </c>
      <c r="BE42" s="671">
        <f>SUM('Schedule 3B_Income_Eastern:Schedule 3D_Income_The Cape'!BE42)</f>
        <v>145196.62411286516</v>
      </c>
      <c r="BF42" s="671">
        <f>SUM('Schedule 3B_Income_Eastern:Schedule 3D_Income_The Cape'!BF42)</f>
        <v>0</v>
      </c>
      <c r="BG42" s="671">
        <f>SUM('Schedule 3B_Income_Eastern:Schedule 3D_Income_The Cape'!BG42)</f>
        <v>157850.15494409506</v>
      </c>
      <c r="BH42" s="674">
        <f t="shared" si="96"/>
        <v>546141.27919398481</v>
      </c>
      <c r="BI42" s="675">
        <f t="shared" si="97"/>
        <v>1252938.9458761751</v>
      </c>
      <c r="BJ42" s="343">
        <v>20</v>
      </c>
      <c r="BK42" s="671">
        <f>SUM('Schedule 3B_Income_Eastern:Schedule 3D_Income_The Cape'!BK42)</f>
        <v>0</v>
      </c>
      <c r="BL42" s="671">
        <f>SUM('Schedule 3B_Income_Eastern:Schedule 3D_Income_The Cape'!BL42)</f>
        <v>2427.7899999999972</v>
      </c>
      <c r="BM42" s="671">
        <f>SUM('Schedule 3B_Income_Eastern:Schedule 3D_Income_The Cape'!BM42)</f>
        <v>0</v>
      </c>
      <c r="BN42" s="671">
        <f>SUM('Schedule 3B_Income_Eastern:Schedule 3D_Income_The Cape'!BN42)</f>
        <v>8444.4406307453482</v>
      </c>
      <c r="BO42" s="671">
        <f>SUM('Schedule 3B_Income_Eastern:Schedule 3D_Income_The Cape'!BO42)</f>
        <v>0</v>
      </c>
      <c r="BP42" s="671">
        <f>SUM('Schedule 3B_Income_Eastern:Schedule 3D_Income_The Cape'!BP42)</f>
        <v>6239.4003029376554</v>
      </c>
      <c r="BQ42" s="671">
        <f>SUM('Schedule 3B_Income_Eastern:Schedule 3D_Income_The Cape'!BQ42)</f>
        <v>0</v>
      </c>
      <c r="BR42" s="671">
        <f>SUM('Schedule 3B_Income_Eastern:Schedule 3D_Income_The Cape'!BR42)</f>
        <v>5111.5604568263479</v>
      </c>
      <c r="BS42" s="672">
        <f t="shared" si="98"/>
        <v>22223.19139050935</v>
      </c>
      <c r="BT42" s="673">
        <f>SUM('Schedule 3B_Income_Eastern:Schedule 3D_Income_The Cape'!BT42)</f>
        <v>0</v>
      </c>
      <c r="BU42" s="671">
        <f>SUM('Schedule 3B_Income_Eastern:Schedule 3D_Income_The Cape'!BU42)</f>
        <v>1661.63</v>
      </c>
      <c r="BV42" s="671">
        <f>SUM('Schedule 3B_Income_Eastern:Schedule 3D_Income_The Cape'!BV42)</f>
        <v>0</v>
      </c>
      <c r="BW42" s="671">
        <f>SUM('Schedule 3B_Income_Eastern:Schedule 3D_Income_The Cape'!BW42)</f>
        <v>1952.0773237464623</v>
      </c>
      <c r="BX42" s="671">
        <f>SUM('Schedule 3B_Income_Eastern:Schedule 3D_Income_The Cape'!BX42)</f>
        <v>0</v>
      </c>
      <c r="BY42" s="671">
        <f>SUM('Schedule 3B_Income_Eastern:Schedule 3D_Income_The Cape'!BY42)</f>
        <v>1124.8269603959648</v>
      </c>
      <c r="BZ42" s="671">
        <f>SUM('Schedule 3B_Income_Eastern:Schedule 3D_Income_The Cape'!BZ42)</f>
        <v>0</v>
      </c>
      <c r="CA42" s="671">
        <f>SUM('Schedule 3B_Income_Eastern:Schedule 3D_Income_The Cape'!CA42)</f>
        <v>858.03245302678909</v>
      </c>
      <c r="CB42" s="674">
        <f t="shared" si="99"/>
        <v>5596.5667371692161</v>
      </c>
      <c r="CC42" s="675">
        <f t="shared" si="100"/>
        <v>27819.758127678564</v>
      </c>
      <c r="CD42" s="343">
        <v>20</v>
      </c>
      <c r="CE42" s="462">
        <f t="shared" si="101"/>
        <v>301530.20999999973</v>
      </c>
      <c r="CF42" s="462">
        <f t="shared" si="102"/>
        <v>190505.50691764269</v>
      </c>
      <c r="CG42" s="462">
        <f t="shared" si="103"/>
        <v>206260.18926403369</v>
      </c>
      <c r="CH42" s="462">
        <f t="shared" si="104"/>
        <v>230913.02006363796</v>
      </c>
      <c r="CI42" s="464">
        <f t="shared" si="105"/>
        <v>929208.92624531419</v>
      </c>
      <c r="CJ42" s="462">
        <f t="shared" si="106"/>
        <v>144545.31000000006</v>
      </c>
      <c r="CK42" s="462">
        <f t="shared" si="107"/>
        <v>178173.15859707855</v>
      </c>
      <c r="CL42" s="462">
        <f t="shared" si="108"/>
        <v>203319.80543068267</v>
      </c>
      <c r="CM42" s="462">
        <f t="shared" si="109"/>
        <v>207847.69609796148</v>
      </c>
      <c r="CN42" s="464">
        <f t="shared" si="110"/>
        <v>733885.9701257227</v>
      </c>
      <c r="CO42" s="462">
        <f t="shared" si="111"/>
        <v>446075.51999999973</v>
      </c>
      <c r="CP42" s="462">
        <f t="shared" si="112"/>
        <v>368678.66551472124</v>
      </c>
      <c r="CQ42" s="462">
        <f t="shared" si="113"/>
        <v>409579.9946947163</v>
      </c>
      <c r="CR42" s="462">
        <f t="shared" si="114"/>
        <v>438760.71616159944</v>
      </c>
      <c r="CS42" s="464">
        <f t="shared" si="115"/>
        <v>1663094.896371037</v>
      </c>
    </row>
    <row r="43" spans="1:101" ht="15.75" customHeight="1" x14ac:dyDescent="0.25">
      <c r="A43" s="94" t="s">
        <v>1417</v>
      </c>
      <c r="B43" s="343">
        <v>21</v>
      </c>
      <c r="C43" s="671">
        <f>SUM('Schedule 3B_Income_Eastern:Schedule 3D_Income_The Cape'!C43)</f>
        <v>0</v>
      </c>
      <c r="D43" s="671">
        <f>SUM('Schedule 3B_Income_Eastern:Schedule 3D_Income_The Cape'!D43)</f>
        <v>0</v>
      </c>
      <c r="E43" s="671">
        <f>SUM('Schedule 3B_Income_Eastern:Schedule 3D_Income_The Cape'!E43)</f>
        <v>0</v>
      </c>
      <c r="F43" s="671">
        <f>SUM('Schedule 3B_Income_Eastern:Schedule 3D_Income_The Cape'!F43)</f>
        <v>0</v>
      </c>
      <c r="G43" s="671">
        <f>SUM('Schedule 3B_Income_Eastern:Schedule 3D_Income_The Cape'!G43)</f>
        <v>0</v>
      </c>
      <c r="H43" s="671">
        <f>SUM('Schedule 3B_Income_Eastern:Schedule 3D_Income_The Cape'!H43)</f>
        <v>0</v>
      </c>
      <c r="I43" s="671">
        <f>SUM('Schedule 3B_Income_Eastern:Schedule 3D_Income_The Cape'!I43)</f>
        <v>0</v>
      </c>
      <c r="J43" s="671">
        <f>SUM('Schedule 3B_Income_Eastern:Schedule 3D_Income_The Cape'!J43)</f>
        <v>0</v>
      </c>
      <c r="K43" s="672">
        <f t="shared" si="89"/>
        <v>0</v>
      </c>
      <c r="L43" s="673">
        <f>SUM('Schedule 3B_Income_Eastern:Schedule 3D_Income_The Cape'!L43)</f>
        <v>0</v>
      </c>
      <c r="M43" s="671">
        <f>SUM('Schedule 3B_Income_Eastern:Schedule 3D_Income_The Cape'!M43)</f>
        <v>904139</v>
      </c>
      <c r="N43" s="671">
        <f>SUM('Schedule 3B_Income_Eastern:Schedule 3D_Income_The Cape'!N43)</f>
        <v>0</v>
      </c>
      <c r="O43" s="671">
        <f>SUM('Schedule 3B_Income_Eastern:Schedule 3D_Income_The Cape'!O43)</f>
        <v>1026801</v>
      </c>
      <c r="P43" s="671">
        <f>SUM('Schedule 3B_Income_Eastern:Schedule 3D_Income_The Cape'!P43)</f>
        <v>0</v>
      </c>
      <c r="Q43" s="671">
        <f>SUM('Schedule 3B_Income_Eastern:Schedule 3D_Income_The Cape'!Q43)</f>
        <v>1390467</v>
      </c>
      <c r="R43" s="671">
        <f>SUM('Schedule 3B_Income_Eastern:Schedule 3D_Income_The Cape'!R43)</f>
        <v>0</v>
      </c>
      <c r="S43" s="671">
        <f>SUM('Schedule 3B_Income_Eastern:Schedule 3D_Income_The Cape'!S43)</f>
        <v>1534429</v>
      </c>
      <c r="T43" s="674">
        <f t="shared" si="90"/>
        <v>4855836</v>
      </c>
      <c r="U43" s="675">
        <f t="shared" si="91"/>
        <v>4855836</v>
      </c>
      <c r="V43" s="343">
        <v>21</v>
      </c>
      <c r="W43" s="671">
        <f>SUM('Schedule 3B_Income_Eastern:Schedule 3D_Income_The Cape'!W43)</f>
        <v>0</v>
      </c>
      <c r="X43" s="671">
        <f>SUM('Schedule 3B_Income_Eastern:Schedule 3D_Income_The Cape'!X43)</f>
        <v>0</v>
      </c>
      <c r="Y43" s="671">
        <f>SUM('Schedule 3B_Income_Eastern:Schedule 3D_Income_The Cape'!Y43)</f>
        <v>0</v>
      </c>
      <c r="Z43" s="671">
        <f>SUM('Schedule 3B_Income_Eastern:Schedule 3D_Income_The Cape'!Z43)</f>
        <v>0</v>
      </c>
      <c r="AA43" s="671">
        <f>SUM('Schedule 3B_Income_Eastern:Schedule 3D_Income_The Cape'!AA43)</f>
        <v>0</v>
      </c>
      <c r="AB43" s="671">
        <f>SUM('Schedule 3B_Income_Eastern:Schedule 3D_Income_The Cape'!AB43)</f>
        <v>0</v>
      </c>
      <c r="AC43" s="671">
        <f>SUM('Schedule 3B_Income_Eastern:Schedule 3D_Income_The Cape'!AC43)</f>
        <v>0</v>
      </c>
      <c r="AD43" s="671">
        <f>SUM('Schedule 3B_Income_Eastern:Schedule 3D_Income_The Cape'!AD43)</f>
        <v>0</v>
      </c>
      <c r="AE43" s="672">
        <f t="shared" si="92"/>
        <v>0</v>
      </c>
      <c r="AF43" s="673">
        <f>SUM('Schedule 3B_Income_Eastern:Schedule 3D_Income_The Cape'!AF43)</f>
        <v>0</v>
      </c>
      <c r="AG43" s="671">
        <f>SUM('Schedule 3B_Income_Eastern:Schedule 3D_Income_The Cape'!AG43)</f>
        <v>422027</v>
      </c>
      <c r="AH43" s="671">
        <f>SUM('Schedule 3B_Income_Eastern:Schedule 3D_Income_The Cape'!AH43)</f>
        <v>0</v>
      </c>
      <c r="AI43" s="671">
        <f>SUM('Schedule 3B_Income_Eastern:Schedule 3D_Income_The Cape'!AI43)</f>
        <v>409072</v>
      </c>
      <c r="AJ43" s="671">
        <f>SUM('Schedule 3B_Income_Eastern:Schedule 3D_Income_The Cape'!AJ43)</f>
        <v>0</v>
      </c>
      <c r="AK43" s="671">
        <f>SUM('Schedule 3B_Income_Eastern:Schedule 3D_Income_The Cape'!AK43)</f>
        <v>486998</v>
      </c>
      <c r="AL43" s="671">
        <f>SUM('Schedule 3B_Income_Eastern:Schedule 3D_Income_The Cape'!AL43)</f>
        <v>0</v>
      </c>
      <c r="AM43" s="671">
        <f>SUM('Schedule 3B_Income_Eastern:Schedule 3D_Income_The Cape'!AM43)</f>
        <v>503015</v>
      </c>
      <c r="AN43" s="674">
        <f t="shared" si="93"/>
        <v>1821112</v>
      </c>
      <c r="AO43" s="675">
        <f t="shared" si="94"/>
        <v>1821112</v>
      </c>
      <c r="AP43" s="343">
        <v>21</v>
      </c>
      <c r="AQ43" s="671">
        <f>SUM('Schedule 3B_Income_Eastern:Schedule 3D_Income_The Cape'!AQ43)</f>
        <v>0</v>
      </c>
      <c r="AR43" s="671">
        <f>SUM('Schedule 3B_Income_Eastern:Schedule 3D_Income_The Cape'!AR43)</f>
        <v>0</v>
      </c>
      <c r="AS43" s="671">
        <f>SUM('Schedule 3B_Income_Eastern:Schedule 3D_Income_The Cape'!AS43)</f>
        <v>0</v>
      </c>
      <c r="AT43" s="671">
        <f>SUM('Schedule 3B_Income_Eastern:Schedule 3D_Income_The Cape'!AT43)</f>
        <v>0</v>
      </c>
      <c r="AU43" s="671">
        <f>SUM('Schedule 3B_Income_Eastern:Schedule 3D_Income_The Cape'!AU43)</f>
        <v>0</v>
      </c>
      <c r="AV43" s="671">
        <f>SUM('Schedule 3B_Income_Eastern:Schedule 3D_Income_The Cape'!AV43)</f>
        <v>0</v>
      </c>
      <c r="AW43" s="671">
        <f>SUM('Schedule 3B_Income_Eastern:Schedule 3D_Income_The Cape'!AW43)</f>
        <v>0</v>
      </c>
      <c r="AX43" s="671">
        <f>SUM('Schedule 3B_Income_Eastern:Schedule 3D_Income_The Cape'!AX43)</f>
        <v>0</v>
      </c>
      <c r="AY43" s="672">
        <f t="shared" si="95"/>
        <v>0</v>
      </c>
      <c r="AZ43" s="673">
        <f>SUM('Schedule 3B_Income_Eastern:Schedule 3D_Income_The Cape'!AZ43)</f>
        <v>0</v>
      </c>
      <c r="BA43" s="671">
        <f>SUM('Schedule 3B_Income_Eastern:Schedule 3D_Income_The Cape'!BA43)</f>
        <v>7655826</v>
      </c>
      <c r="BB43" s="671">
        <f>SUM('Schedule 3B_Income_Eastern:Schedule 3D_Income_The Cape'!BB43)</f>
        <v>0</v>
      </c>
      <c r="BC43" s="671">
        <f>SUM('Schedule 3B_Income_Eastern:Schedule 3D_Income_The Cape'!BC43)</f>
        <v>8585813</v>
      </c>
      <c r="BD43" s="671">
        <f>SUM('Schedule 3B_Income_Eastern:Schedule 3D_Income_The Cape'!BD43)</f>
        <v>0</v>
      </c>
      <c r="BE43" s="671">
        <f>SUM('Schedule 3B_Income_Eastern:Schedule 3D_Income_The Cape'!BE43)</f>
        <v>9860471</v>
      </c>
      <c r="BF43" s="671">
        <f>SUM('Schedule 3B_Income_Eastern:Schedule 3D_Income_The Cape'!BF43)</f>
        <v>0</v>
      </c>
      <c r="BG43" s="671">
        <f>SUM('Schedule 3B_Income_Eastern:Schedule 3D_Income_The Cape'!BG43)</f>
        <v>10499264</v>
      </c>
      <c r="BH43" s="674">
        <f t="shared" si="96"/>
        <v>36601374</v>
      </c>
      <c r="BI43" s="675">
        <f t="shared" si="97"/>
        <v>36601374</v>
      </c>
      <c r="BJ43" s="343">
        <v>21</v>
      </c>
      <c r="BK43" s="671">
        <f>SUM('Schedule 3B_Income_Eastern:Schedule 3D_Income_The Cape'!BK43)</f>
        <v>0</v>
      </c>
      <c r="BL43" s="671">
        <f>SUM('Schedule 3B_Income_Eastern:Schedule 3D_Income_The Cape'!BL43)</f>
        <v>0</v>
      </c>
      <c r="BM43" s="671">
        <f>SUM('Schedule 3B_Income_Eastern:Schedule 3D_Income_The Cape'!BM43)</f>
        <v>0</v>
      </c>
      <c r="BN43" s="671">
        <f>SUM('Schedule 3B_Income_Eastern:Schedule 3D_Income_The Cape'!BN43)</f>
        <v>0</v>
      </c>
      <c r="BO43" s="671">
        <f>SUM('Schedule 3B_Income_Eastern:Schedule 3D_Income_The Cape'!BO43)</f>
        <v>0</v>
      </c>
      <c r="BP43" s="671">
        <f>SUM('Schedule 3B_Income_Eastern:Schedule 3D_Income_The Cape'!BP43)</f>
        <v>0</v>
      </c>
      <c r="BQ43" s="671">
        <f>SUM('Schedule 3B_Income_Eastern:Schedule 3D_Income_The Cape'!BQ43)</f>
        <v>0</v>
      </c>
      <c r="BR43" s="671">
        <f>SUM('Schedule 3B_Income_Eastern:Schedule 3D_Income_The Cape'!BR43)</f>
        <v>0</v>
      </c>
      <c r="BS43" s="672">
        <f t="shared" si="98"/>
        <v>0</v>
      </c>
      <c r="BT43" s="673">
        <f>SUM('Schedule 3B_Income_Eastern:Schedule 3D_Income_The Cape'!BT43)</f>
        <v>0</v>
      </c>
      <c r="BU43" s="671">
        <f>SUM('Schedule 3B_Income_Eastern:Schedule 3D_Income_The Cape'!BU43)</f>
        <v>245362</v>
      </c>
      <c r="BV43" s="671">
        <f>SUM('Schedule 3B_Income_Eastern:Schedule 3D_Income_The Cape'!BV43)</f>
        <v>0</v>
      </c>
      <c r="BW43" s="671">
        <f>SUM('Schedule 3B_Income_Eastern:Schedule 3D_Income_The Cape'!BW43)</f>
        <v>282796</v>
      </c>
      <c r="BX43" s="671">
        <f>SUM('Schedule 3B_Income_Eastern:Schedule 3D_Income_The Cape'!BX43)</f>
        <v>0</v>
      </c>
      <c r="BY43" s="671">
        <f>SUM('Schedule 3B_Income_Eastern:Schedule 3D_Income_The Cape'!BY43)</f>
        <v>249090</v>
      </c>
      <c r="BZ43" s="671">
        <f>SUM('Schedule 3B_Income_Eastern:Schedule 3D_Income_The Cape'!BZ43)</f>
        <v>0</v>
      </c>
      <c r="CA43" s="671">
        <f>SUM('Schedule 3B_Income_Eastern:Schedule 3D_Income_The Cape'!CA43)</f>
        <v>193702</v>
      </c>
      <c r="CB43" s="674">
        <f t="shared" si="99"/>
        <v>970950</v>
      </c>
      <c r="CC43" s="675">
        <f t="shared" si="100"/>
        <v>970950</v>
      </c>
      <c r="CD43" s="343">
        <v>21</v>
      </c>
      <c r="CE43" s="462">
        <f t="shared" si="101"/>
        <v>0</v>
      </c>
      <c r="CF43" s="462">
        <f t="shared" si="102"/>
        <v>0</v>
      </c>
      <c r="CG43" s="462">
        <f t="shared" si="103"/>
        <v>0</v>
      </c>
      <c r="CH43" s="462">
        <f t="shared" si="104"/>
        <v>0</v>
      </c>
      <c r="CI43" s="464">
        <f t="shared" si="105"/>
        <v>0</v>
      </c>
      <c r="CJ43" s="462">
        <f t="shared" si="106"/>
        <v>9227354</v>
      </c>
      <c r="CK43" s="462">
        <f t="shared" si="107"/>
        <v>10304482</v>
      </c>
      <c r="CL43" s="462">
        <f t="shared" si="108"/>
        <v>11987026</v>
      </c>
      <c r="CM43" s="462">
        <f t="shared" si="109"/>
        <v>12730410</v>
      </c>
      <c r="CN43" s="464">
        <f t="shared" si="110"/>
        <v>44249272</v>
      </c>
      <c r="CO43" s="462">
        <f t="shared" si="111"/>
        <v>9227354</v>
      </c>
      <c r="CP43" s="462">
        <f t="shared" si="112"/>
        <v>10304482</v>
      </c>
      <c r="CQ43" s="462">
        <f t="shared" si="113"/>
        <v>11987026</v>
      </c>
      <c r="CR43" s="462">
        <f t="shared" si="114"/>
        <v>12730410</v>
      </c>
      <c r="CS43" s="464">
        <f t="shared" si="115"/>
        <v>44249272</v>
      </c>
    </row>
    <row r="44" spans="1:101" ht="15.75" customHeight="1" x14ac:dyDescent="0.25">
      <c r="A44" s="94" t="s">
        <v>1348</v>
      </c>
      <c r="B44" s="343">
        <v>22</v>
      </c>
      <c r="C44" s="671">
        <f>SUM('Schedule 3B_Income_Eastern:Schedule 3D_Income_The Cape'!C44)</f>
        <v>298191.14000000031</v>
      </c>
      <c r="D44" s="671">
        <f>SUM('Schedule 3B_Income_Eastern:Schedule 3D_Income_The Cape'!D44)</f>
        <v>0</v>
      </c>
      <c r="E44" s="671">
        <f>SUM('Schedule 3B_Income_Eastern:Schedule 3D_Income_The Cape'!E44)</f>
        <v>298388.56932538631</v>
      </c>
      <c r="F44" s="671">
        <f>SUM('Schedule 3B_Income_Eastern:Schedule 3D_Income_The Cape'!F44)</f>
        <v>31102.563539141247</v>
      </c>
      <c r="G44" s="671">
        <f>SUM('Schedule 3B_Income_Eastern:Schedule 3D_Income_The Cape'!G44)</f>
        <v>290969.67830482428</v>
      </c>
      <c r="H44" s="671">
        <f>SUM('Schedule 3B_Income_Eastern:Schedule 3D_Income_The Cape'!H44)</f>
        <v>295.55170013610331</v>
      </c>
      <c r="I44" s="671">
        <f>SUM('Schedule 3B_Income_Eastern:Schedule 3D_Income_The Cape'!I44)</f>
        <v>237134.63999999993</v>
      </c>
      <c r="J44" s="671">
        <f>SUM('Schedule 3B_Income_Eastern:Schedule 3D_Income_The Cape'!J44)</f>
        <v>101.53926614257391</v>
      </c>
      <c r="K44" s="672">
        <f t="shared" ref="K44" si="116">SUM(C44:J44)</f>
        <v>1156183.6821356309</v>
      </c>
      <c r="L44" s="673">
        <f>SUM('Schedule 3B_Income_Eastern:Schedule 3D_Income_The Cape'!L44)</f>
        <v>0</v>
      </c>
      <c r="M44" s="671">
        <f>SUM('Schedule 3B_Income_Eastern:Schedule 3D_Income_The Cape'!M44)</f>
        <v>749792.44000000402</v>
      </c>
      <c r="N44" s="671">
        <f>SUM('Schedule 3B_Income_Eastern:Schedule 3D_Income_The Cape'!N44)</f>
        <v>0</v>
      </c>
      <c r="O44" s="671">
        <f>SUM('Schedule 3B_Income_Eastern:Schedule 3D_Income_The Cape'!O44)</f>
        <v>742429.12960268883</v>
      </c>
      <c r="P44" s="671">
        <f>SUM('Schedule 3B_Income_Eastern:Schedule 3D_Income_The Cape'!P44)</f>
        <v>0</v>
      </c>
      <c r="Q44" s="671">
        <f>SUM('Schedule 3B_Income_Eastern:Schedule 3D_Income_The Cape'!Q44)</f>
        <v>678768.7809896823</v>
      </c>
      <c r="R44" s="671">
        <f>SUM('Schedule 3B_Income_Eastern:Schedule 3D_Income_The Cape'!R44)</f>
        <v>0</v>
      </c>
      <c r="S44" s="671">
        <f>SUM('Schedule 3B_Income_Eastern:Schedule 3D_Income_The Cape'!S44)</f>
        <v>455959.34980104875</v>
      </c>
      <c r="T44" s="674">
        <f>SUM(L44:S44)</f>
        <v>2626949.7003934239</v>
      </c>
      <c r="U44" s="675">
        <f>SUM(T44,K44)</f>
        <v>3783133.3825290548</v>
      </c>
      <c r="V44" s="343">
        <v>22</v>
      </c>
      <c r="W44" s="671">
        <f>SUM('Schedule 3B_Income_Eastern:Schedule 3D_Income_The Cape'!W44)</f>
        <v>25159.419999999991</v>
      </c>
      <c r="X44" s="671">
        <f>SUM('Schedule 3B_Income_Eastern:Schedule 3D_Income_The Cape'!X44)</f>
        <v>0</v>
      </c>
      <c r="Y44" s="671">
        <f>SUM('Schedule 3B_Income_Eastern:Schedule 3D_Income_The Cape'!Y44)</f>
        <v>10671.503465675087</v>
      </c>
      <c r="Z44" s="671">
        <f>SUM('Schedule 3B_Income_Eastern:Schedule 3D_Income_The Cape'!Z44)</f>
        <v>1723.2597105989294</v>
      </c>
      <c r="AA44" s="671">
        <f>SUM('Schedule 3B_Income_Eastern:Schedule 3D_Income_The Cape'!AA44)</f>
        <v>13224.310000000001</v>
      </c>
      <c r="AB44" s="671">
        <f>SUM('Schedule 3B_Income_Eastern:Schedule 3D_Income_The Cape'!AB44)</f>
        <v>0</v>
      </c>
      <c r="AC44" s="671">
        <f>SUM('Schedule 3B_Income_Eastern:Schedule 3D_Income_The Cape'!AC44)</f>
        <v>23210.910000000003</v>
      </c>
      <c r="AD44" s="671">
        <f>SUM('Schedule 3B_Income_Eastern:Schedule 3D_Income_The Cape'!AD44)</f>
        <v>0</v>
      </c>
      <c r="AE44" s="672">
        <f t="shared" ref="AE44" si="117">SUM(W44:AD44)</f>
        <v>73989.403176274005</v>
      </c>
      <c r="AF44" s="673">
        <f>SUM('Schedule 3B_Income_Eastern:Schedule 3D_Income_The Cape'!AF44)</f>
        <v>0</v>
      </c>
      <c r="AG44" s="671">
        <f>SUM('Schedule 3B_Income_Eastern:Schedule 3D_Income_The Cape'!AG44)</f>
        <v>348452.33999999939</v>
      </c>
      <c r="AH44" s="671">
        <f>SUM('Schedule 3B_Income_Eastern:Schedule 3D_Income_The Cape'!AH44)</f>
        <v>0</v>
      </c>
      <c r="AI44" s="671">
        <f>SUM('Schedule 3B_Income_Eastern:Schedule 3D_Income_The Cape'!AI44)</f>
        <v>275786.02917231299</v>
      </c>
      <c r="AJ44" s="671">
        <f>SUM('Schedule 3B_Income_Eastern:Schedule 3D_Income_The Cape'!AJ44)</f>
        <v>0</v>
      </c>
      <c r="AK44" s="671">
        <f>SUM('Schedule 3B_Income_Eastern:Schedule 3D_Income_The Cape'!AK44)</f>
        <v>305357.67999999895</v>
      </c>
      <c r="AL44" s="671">
        <f>SUM('Schedule 3B_Income_Eastern:Schedule 3D_Income_The Cape'!AL44)</f>
        <v>0</v>
      </c>
      <c r="AM44" s="671">
        <f>SUM('Schedule 3B_Income_Eastern:Schedule 3D_Income_The Cape'!AM44)</f>
        <v>261815.34000000064</v>
      </c>
      <c r="AN44" s="674">
        <f t="shared" ref="AN44" si="118">SUM(AF44:AM44)</f>
        <v>1191411.3891723119</v>
      </c>
      <c r="AO44" s="675">
        <f t="shared" ref="AO44" si="119">SUM(AN44,AE44)</f>
        <v>1265400.7923485858</v>
      </c>
      <c r="AP44" s="343">
        <v>22</v>
      </c>
      <c r="AQ44" s="671">
        <f>SUM('Schedule 3B_Income_Eastern:Schedule 3D_Income_The Cape'!AQ44)</f>
        <v>2201857.39</v>
      </c>
      <c r="AR44" s="671">
        <f>SUM('Schedule 3B_Income_Eastern:Schedule 3D_Income_The Cape'!AR44)</f>
        <v>9.459999999999992</v>
      </c>
      <c r="AS44" s="671">
        <f>SUM('Schedule 3B_Income_Eastern:Schedule 3D_Income_The Cape'!AS44)</f>
        <v>2528271.8017168636</v>
      </c>
      <c r="AT44" s="671">
        <f>SUM('Schedule 3B_Income_Eastern:Schedule 3D_Income_The Cape'!AT44)</f>
        <v>142638.5651008377</v>
      </c>
      <c r="AU44" s="671">
        <f>SUM('Schedule 3B_Income_Eastern:Schedule 3D_Income_The Cape'!AU44)</f>
        <v>2901933.6038410733</v>
      </c>
      <c r="AV44" s="671">
        <f>SUM('Schedule 3B_Income_Eastern:Schedule 3D_Income_The Cape'!AV44)</f>
        <v>1423.1843259984309</v>
      </c>
      <c r="AW44" s="671">
        <f>SUM('Schedule 3B_Income_Eastern:Schedule 3D_Income_The Cape'!AW44)</f>
        <v>3141096.8920799508</v>
      </c>
      <c r="AX44" s="671">
        <f>SUM('Schedule 3B_Income_Eastern:Schedule 3D_Income_The Cape'!AX44)</f>
        <v>1828.2296187512411</v>
      </c>
      <c r="AY44" s="672">
        <f t="shared" ref="AY44" si="120">SUM(AQ44:AX44)</f>
        <v>10919059.126683475</v>
      </c>
      <c r="AZ44" s="673">
        <f>SUM('Schedule 3B_Income_Eastern:Schedule 3D_Income_The Cape'!AZ44)</f>
        <v>0</v>
      </c>
      <c r="BA44" s="671">
        <f>SUM('Schedule 3B_Income_Eastern:Schedule 3D_Income_The Cape'!BA44)</f>
        <v>7412166.8099998841</v>
      </c>
      <c r="BB44" s="671">
        <f>SUM('Schedule 3B_Income_Eastern:Schedule 3D_Income_The Cape'!BB44)</f>
        <v>0</v>
      </c>
      <c r="BC44" s="671">
        <f>SUM('Schedule 3B_Income_Eastern:Schedule 3D_Income_The Cape'!BC44)</f>
        <v>7078500.8667604029</v>
      </c>
      <c r="BD44" s="671">
        <f>SUM('Schedule 3B_Income_Eastern:Schedule 3D_Income_The Cape'!BD44)</f>
        <v>0</v>
      </c>
      <c r="BE44" s="671">
        <f>SUM('Schedule 3B_Income_Eastern:Schedule 3D_Income_The Cape'!BE44)</f>
        <v>6931495.6688805697</v>
      </c>
      <c r="BF44" s="671">
        <f>SUM('Schedule 3B_Income_Eastern:Schedule 3D_Income_The Cape'!BF44)</f>
        <v>0</v>
      </c>
      <c r="BG44" s="671">
        <f>SUM('Schedule 3B_Income_Eastern:Schedule 3D_Income_The Cape'!BG44)</f>
        <v>7375539.5676222183</v>
      </c>
      <c r="BH44" s="674">
        <f t="shared" ref="BH44" si="121">SUM(AZ44:BG44)</f>
        <v>28797702.913263075</v>
      </c>
      <c r="BI44" s="675">
        <f t="shared" ref="BI44" si="122">SUM(BH44,AY44)</f>
        <v>39716762.039946549</v>
      </c>
      <c r="BJ44" s="343">
        <v>22</v>
      </c>
      <c r="BK44" s="671">
        <f>SUM('Schedule 3B_Income_Eastern:Schedule 3D_Income_The Cape'!BK44)</f>
        <v>22483.420000000009</v>
      </c>
      <c r="BL44" s="671">
        <f>SUM('Schedule 3B_Income_Eastern:Schedule 3D_Income_The Cape'!BL44)</f>
        <v>0</v>
      </c>
      <c r="BM44" s="671">
        <f>SUM('Schedule 3B_Income_Eastern:Schedule 3D_Income_The Cape'!BM44)</f>
        <v>26561.879396039578</v>
      </c>
      <c r="BN44" s="671">
        <f>SUM('Schedule 3B_Income_Eastern:Schedule 3D_Income_The Cape'!BN44)</f>
        <v>2285.8183771796439</v>
      </c>
      <c r="BO44" s="671">
        <f>SUM('Schedule 3B_Income_Eastern:Schedule 3D_Income_The Cape'!BO44)</f>
        <v>26682.749999999989</v>
      </c>
      <c r="BP44" s="671">
        <f>SUM('Schedule 3B_Income_Eastern:Schedule 3D_Income_The Cape'!BP44)</f>
        <v>0</v>
      </c>
      <c r="BQ44" s="671">
        <f>SUM('Schedule 3B_Income_Eastern:Schedule 3D_Income_The Cape'!BQ44)</f>
        <v>53558.580000000024</v>
      </c>
      <c r="BR44" s="671">
        <f>SUM('Schedule 3B_Income_Eastern:Schedule 3D_Income_The Cape'!BR44)</f>
        <v>14.779950611900546</v>
      </c>
      <c r="BS44" s="672">
        <f t="shared" ref="BS44" si="123">SUM(BK44:BR44)</f>
        <v>131587.22772383114</v>
      </c>
      <c r="BT44" s="673">
        <f>SUM('Schedule 3B_Income_Eastern:Schedule 3D_Income_The Cape'!BT44)</f>
        <v>0</v>
      </c>
      <c r="BU44" s="671">
        <f>SUM('Schedule 3B_Income_Eastern:Schedule 3D_Income_The Cape'!BU44)</f>
        <v>294091.93999999901</v>
      </c>
      <c r="BV44" s="671">
        <f>SUM('Schedule 3B_Income_Eastern:Schedule 3D_Income_The Cape'!BV44)</f>
        <v>0</v>
      </c>
      <c r="BW44" s="671">
        <f>SUM('Schedule 3B_Income_Eastern:Schedule 3D_Income_The Cape'!BW44)</f>
        <v>355467.97728075285</v>
      </c>
      <c r="BX44" s="671">
        <f>SUM('Schedule 3B_Income_Eastern:Schedule 3D_Income_The Cape'!BX44)</f>
        <v>0</v>
      </c>
      <c r="BY44" s="671">
        <f>SUM('Schedule 3B_Income_Eastern:Schedule 3D_Income_The Cape'!BY44)</f>
        <v>348499.42999999912</v>
      </c>
      <c r="BZ44" s="671">
        <f>SUM('Schedule 3B_Income_Eastern:Schedule 3D_Income_The Cape'!BZ44)</f>
        <v>0</v>
      </c>
      <c r="CA44" s="671">
        <f>SUM('Schedule 3B_Income_Eastern:Schedule 3D_Income_The Cape'!CA44)</f>
        <v>432390.2040208478</v>
      </c>
      <c r="CB44" s="674">
        <f t="shared" ref="CB44" si="124">SUM(BT44:CA44)</f>
        <v>1430449.5513015988</v>
      </c>
      <c r="CC44" s="675">
        <f t="shared" ref="CC44" si="125">SUM(CB44,BS44)</f>
        <v>1562036.7790254299</v>
      </c>
      <c r="CD44" s="343">
        <v>22</v>
      </c>
      <c r="CE44" s="462">
        <f t="shared" si="101"/>
        <v>2547700.83</v>
      </c>
      <c r="CF44" s="462">
        <f t="shared" si="102"/>
        <v>3041643.9606317217</v>
      </c>
      <c r="CG44" s="462">
        <f t="shared" si="103"/>
        <v>3234529.0781720323</v>
      </c>
      <c r="CH44" s="462">
        <f t="shared" si="104"/>
        <v>3456945.5709154564</v>
      </c>
      <c r="CI44" s="464">
        <f t="shared" si="105"/>
        <v>12280819.439719211</v>
      </c>
      <c r="CJ44" s="462">
        <f t="shared" si="106"/>
        <v>8804503.5299998876</v>
      </c>
      <c r="CK44" s="462">
        <f t="shared" si="107"/>
        <v>8452184.0028161574</v>
      </c>
      <c r="CL44" s="462">
        <f t="shared" si="108"/>
        <v>8264121.5598702496</v>
      </c>
      <c r="CM44" s="462">
        <f t="shared" si="109"/>
        <v>8525704.4614441153</v>
      </c>
      <c r="CN44" s="464">
        <f t="shared" si="110"/>
        <v>34046513.554130413</v>
      </c>
      <c r="CO44" s="462">
        <f t="shared" si="111"/>
        <v>11352204.359999888</v>
      </c>
      <c r="CP44" s="462">
        <f t="shared" si="112"/>
        <v>11493827.96344788</v>
      </c>
      <c r="CQ44" s="462">
        <f t="shared" si="113"/>
        <v>11498650.638042282</v>
      </c>
      <c r="CR44" s="462">
        <f t="shared" si="114"/>
        <v>11982650.032359572</v>
      </c>
      <c r="CS44" s="464">
        <f t="shared" si="115"/>
        <v>46327332.99384962</v>
      </c>
    </row>
    <row r="45" spans="1:101" ht="15.75" customHeight="1" x14ac:dyDescent="0.25">
      <c r="A45" s="94" t="s">
        <v>1349</v>
      </c>
      <c r="B45" s="343">
        <v>23</v>
      </c>
      <c r="C45" s="671">
        <f>SUM('Schedule 3B_Income_Eastern:Schedule 3D_Income_The Cape'!C45)</f>
        <v>217246.73825501834</v>
      </c>
      <c r="D45" s="671">
        <f>SUM('Schedule 3B_Income_Eastern:Schedule 3D_Income_The Cape'!D45)</f>
        <v>0</v>
      </c>
      <c r="E45" s="671">
        <f>SUM('Schedule 3B_Income_Eastern:Schedule 3D_Income_The Cape'!E45)</f>
        <v>226869.46066459792</v>
      </c>
      <c r="F45" s="671">
        <f>SUM('Schedule 3B_Income_Eastern:Schedule 3D_Income_The Cape'!F45)</f>
        <v>31102.563539141247</v>
      </c>
      <c r="G45" s="671">
        <f>SUM('Schedule 3B_Income_Eastern:Schedule 3D_Income_The Cape'!G45)</f>
        <v>229802.4792997991</v>
      </c>
      <c r="H45" s="671">
        <f>SUM('Schedule 3B_Income_Eastern:Schedule 3D_Income_The Cape'!H45)</f>
        <v>295.55170013610331</v>
      </c>
      <c r="I45" s="671">
        <f>SUM('Schedule 3B_Income_Eastern:Schedule 3D_Income_The Cape'!I45)</f>
        <v>190538.57836597378</v>
      </c>
      <c r="J45" s="671">
        <f>SUM('Schedule 3B_Income_Eastern:Schedule 3D_Income_The Cape'!J45)</f>
        <v>101.53926614257391</v>
      </c>
      <c r="K45" s="672">
        <f t="shared" ref="K45:K47" si="126">SUM(C45:J45)</f>
        <v>895956.91109080915</v>
      </c>
      <c r="L45" s="673">
        <f>SUM('Schedule 3B_Income_Eastern:Schedule 3D_Income_The Cape'!L45)</f>
        <v>0</v>
      </c>
      <c r="M45" s="671">
        <f>SUM('Schedule 3B_Income_Eastern:Schedule 3D_Income_The Cape'!M45)</f>
        <v>254905.57834913005</v>
      </c>
      <c r="N45" s="671">
        <f>SUM('Schedule 3B_Income_Eastern:Schedule 3D_Income_The Cape'!N45)</f>
        <v>0</v>
      </c>
      <c r="O45" s="671">
        <f>SUM('Schedule 3B_Income_Eastern:Schedule 3D_Income_The Cape'!O45)</f>
        <v>235393.09443037707</v>
      </c>
      <c r="P45" s="671">
        <f>SUM('Schedule 3B_Income_Eastern:Schedule 3D_Income_The Cape'!P45)</f>
        <v>0</v>
      </c>
      <c r="Q45" s="671">
        <f>SUM('Schedule 3B_Income_Eastern:Schedule 3D_Income_The Cape'!Q45)</f>
        <v>127260.32289449997</v>
      </c>
      <c r="R45" s="671">
        <f>SUM('Schedule 3B_Income_Eastern:Schedule 3D_Income_The Cape'!R45)</f>
        <v>0</v>
      </c>
      <c r="S45" s="671">
        <f>SUM('Schedule 3B_Income_Eastern:Schedule 3D_Income_The Cape'!S45)</f>
        <v>-49517.886583734471</v>
      </c>
      <c r="T45" s="674">
        <f>SUM(L45:S45)</f>
        <v>568041.10909027269</v>
      </c>
      <c r="U45" s="675">
        <f t="shared" ref="U45:U47" si="127">SUM(T45,K45)</f>
        <v>1463998.0201810817</v>
      </c>
      <c r="V45" s="343">
        <v>23</v>
      </c>
      <c r="W45" s="671">
        <f>SUM('Schedule 3B_Income_Eastern:Schedule 3D_Income_The Cape'!W45)</f>
        <v>18329.860274815903</v>
      </c>
      <c r="X45" s="671">
        <f>SUM('Schedule 3B_Income_Eastern:Schedule 3D_Income_The Cape'!X45)</f>
        <v>0</v>
      </c>
      <c r="Y45" s="671">
        <f>SUM('Schedule 3B_Income_Eastern:Schedule 3D_Income_The Cape'!Y45)</f>
        <v>8075.4707384647891</v>
      </c>
      <c r="Z45" s="671">
        <f>SUM('Schedule 3B_Income_Eastern:Schedule 3D_Income_The Cape'!Z45)</f>
        <v>1723.2597105989294</v>
      </c>
      <c r="AA45" s="671">
        <f>SUM('Schedule 3B_Income_Eastern:Schedule 3D_Income_The Cape'!AA45)</f>
        <v>10442.498903142412</v>
      </c>
      <c r="AB45" s="671">
        <f>SUM('Schedule 3B_Income_Eastern:Schedule 3D_Income_The Cape'!AB45)</f>
        <v>0</v>
      </c>
      <c r="AC45" s="671">
        <f>SUM('Schedule 3B_Income_Eastern:Schedule 3D_Income_The Cape'!AC45)</f>
        <v>18650.053800577454</v>
      </c>
      <c r="AD45" s="671">
        <f>SUM('Schedule 3B_Income_Eastern:Schedule 3D_Income_The Cape'!AD45)</f>
        <v>0</v>
      </c>
      <c r="AE45" s="672">
        <f t="shared" ref="AE45:AE47" si="128">SUM(W45:AD45)</f>
        <v>57221.143427599483</v>
      </c>
      <c r="AF45" s="673">
        <f>SUM('Schedule 3B_Income_Eastern:Schedule 3D_Income_The Cape'!AF45)</f>
        <v>0</v>
      </c>
      <c r="AG45" s="671">
        <f>SUM('Schedule 3B_Income_Eastern:Schedule 3D_Income_The Cape'!AG45)</f>
        <v>117904.003686312</v>
      </c>
      <c r="AH45" s="671">
        <f>SUM('Schedule 3B_Income_Eastern:Schedule 3D_Income_The Cape'!AH45)</f>
        <v>0</v>
      </c>
      <c r="AI45" s="671">
        <f>SUM('Schedule 3B_Income_Eastern:Schedule 3D_Income_The Cape'!AI45)</f>
        <v>78072.141670334051</v>
      </c>
      <c r="AJ45" s="671">
        <f>SUM('Schedule 3B_Income_Eastern:Schedule 3D_Income_The Cape'!AJ45)</f>
        <v>0</v>
      </c>
      <c r="AK45" s="671">
        <f>SUM('Schedule 3B_Income_Eastern:Schedule 3D_Income_The Cape'!AK45)</f>
        <v>94147.188574356813</v>
      </c>
      <c r="AL45" s="671">
        <f>SUM('Schedule 3B_Income_Eastern:Schedule 3D_Income_The Cape'!AL45)</f>
        <v>0</v>
      </c>
      <c r="AM45" s="671">
        <f>SUM('Schedule 3B_Income_Eastern:Schedule 3D_Income_The Cape'!AM45)</f>
        <v>67531.134665164456</v>
      </c>
      <c r="AN45" s="674">
        <f t="shared" ref="AN45:AN47" si="129">SUM(AF45:AM45)</f>
        <v>357654.46859616734</v>
      </c>
      <c r="AO45" s="675">
        <f t="shared" ref="AO45:AO47" si="130">SUM(AN45,AE45)</f>
        <v>414875.61202376685</v>
      </c>
      <c r="AP45" s="343">
        <v>23</v>
      </c>
      <c r="AQ45" s="671">
        <f>SUM('Schedule 3B_Income_Eastern:Schedule 3D_Income_The Cape'!AQ45)</f>
        <v>1604160.1238729211</v>
      </c>
      <c r="AR45" s="671">
        <f>SUM('Schedule 3B_Income_Eastern:Schedule 3D_Income_The Cape'!AR45)</f>
        <v>9.459999999999992</v>
      </c>
      <c r="AS45" s="671">
        <f>SUM('Schedule 3B_Income_Eastern:Schedule 3D_Income_The Cape'!AS45)</f>
        <v>1913983.8357564029</v>
      </c>
      <c r="AT45" s="671">
        <f>SUM('Schedule 3B_Income_Eastern:Schedule 3D_Income_The Cape'!AT45)</f>
        <v>142638.5651008377</v>
      </c>
      <c r="AU45" s="671">
        <f>SUM('Schedule 3B_Income_Eastern:Schedule 3D_Income_The Cape'!AU45)</f>
        <v>2291515.5808300283</v>
      </c>
      <c r="AV45" s="671">
        <f>SUM('Schedule 3B_Income_Eastern:Schedule 3D_Income_The Cape'!AV45)</f>
        <v>1423.1843259984309</v>
      </c>
      <c r="AW45" s="671">
        <f>SUM('Schedule 3B_Income_Eastern:Schedule 3D_Income_The Cape'!AW45)</f>
        <v>2523926.5119499699</v>
      </c>
      <c r="AX45" s="671">
        <f>SUM('Schedule 3B_Income_Eastern:Schedule 3D_Income_The Cape'!AX45)</f>
        <v>1828.2296187512411</v>
      </c>
      <c r="AY45" s="672">
        <f t="shared" ref="AY45:AY47" si="131">SUM(AQ45:AX45)</f>
        <v>8479485.4914549086</v>
      </c>
      <c r="AZ45" s="673">
        <f>SUM('Schedule 3B_Income_Eastern:Schedule 3D_Income_The Cape'!AZ45)</f>
        <v>0</v>
      </c>
      <c r="BA45" s="671">
        <f>SUM('Schedule 3B_Income_Eastern:Schedule 3D_Income_The Cape'!BA45)</f>
        <v>2902710.4408456911</v>
      </c>
      <c r="BB45" s="671">
        <f>SUM('Schedule 3B_Income_Eastern:Schedule 3D_Income_The Cape'!BB45)</f>
        <v>0</v>
      </c>
      <c r="BC45" s="671">
        <f>SUM('Schedule 3B_Income_Eastern:Schedule 3D_Income_The Cape'!BC45)</f>
        <v>2571121.9064903613</v>
      </c>
      <c r="BD45" s="671">
        <f>SUM('Schedule 3B_Income_Eastern:Schedule 3D_Income_The Cape'!BD45)</f>
        <v>0</v>
      </c>
      <c r="BE45" s="671">
        <f>SUM('Schedule 3B_Income_Eastern:Schedule 3D_Income_The Cape'!BE45)</f>
        <v>2457160.4795036963</v>
      </c>
      <c r="BF45" s="671">
        <f>SUM('Schedule 3B_Income_Eastern:Schedule 3D_Income_The Cape'!BF45)</f>
        <v>0</v>
      </c>
      <c r="BG45" s="671">
        <f>SUM('Schedule 3B_Income_Eastern:Schedule 3D_Income_The Cape'!BG45)</f>
        <v>2837983.4113144362</v>
      </c>
      <c r="BH45" s="674">
        <f t="shared" ref="BH45:BH47" si="132">SUM(AZ45:BG45)</f>
        <v>10768976.238154184</v>
      </c>
      <c r="BI45" s="675">
        <f t="shared" ref="BI45:BI47" si="133">SUM(BH45,AY45)</f>
        <v>19248461.729609095</v>
      </c>
      <c r="BJ45" s="343">
        <v>23</v>
      </c>
      <c r="BK45" s="671">
        <f>SUM('Schedule 3B_Income_Eastern:Schedule 3D_Income_The Cape'!BK45)</f>
        <v>16380.26421515288</v>
      </c>
      <c r="BL45" s="671">
        <f>SUM('Schedule 3B_Income_Eastern:Schedule 3D_Income_The Cape'!BL45)</f>
        <v>0</v>
      </c>
      <c r="BM45" s="671">
        <f>SUM('Schedule 3B_Income_Eastern:Schedule 3D_Income_The Cape'!BM45)</f>
        <v>20043.274751973338</v>
      </c>
      <c r="BN45" s="671">
        <f>SUM('Schedule 3B_Income_Eastern:Schedule 3D_Income_The Cape'!BN45)</f>
        <v>2285.8183771796439</v>
      </c>
      <c r="BO45" s="671">
        <f>SUM('Schedule 3B_Income_Eastern:Schedule 3D_Income_The Cape'!BO45)</f>
        <v>21069.877188890991</v>
      </c>
      <c r="BP45" s="671">
        <f>SUM('Schedule 3B_Income_Eastern:Schedule 3D_Income_The Cape'!BP45)</f>
        <v>0</v>
      </c>
      <c r="BQ45" s="671">
        <f>SUM('Schedule 3B_Income_Eastern:Schedule 3D_Income_The Cape'!BQ45)</f>
        <v>43034.521200699673</v>
      </c>
      <c r="BR45" s="671">
        <f>SUM('Schedule 3B_Income_Eastern:Schedule 3D_Income_The Cape'!BR45)</f>
        <v>14.779950611900546</v>
      </c>
      <c r="BS45" s="672">
        <f t="shared" ref="BS45:BS47" si="134">SUM(BK45:BR45)</f>
        <v>102828.53568450843</v>
      </c>
      <c r="BT45" s="673">
        <f>SUM('Schedule 3B_Income_Eastern:Schedule 3D_Income_The Cape'!BT45)</f>
        <v>0</v>
      </c>
      <c r="BU45" s="671">
        <f>SUM('Schedule 3B_Income_Eastern:Schedule 3D_Income_The Cape'!BU45)</f>
        <v>132635.80760395864</v>
      </c>
      <c r="BV45" s="671">
        <f>SUM('Schedule 3B_Income_Eastern:Schedule 3D_Income_The Cape'!BV45)</f>
        <v>0</v>
      </c>
      <c r="BW45" s="671">
        <f>SUM('Schedule 3B_Income_Eastern:Schedule 3D_Income_The Cape'!BW45)</f>
        <v>171249.16071026574</v>
      </c>
      <c r="BX45" s="671">
        <f>SUM('Schedule 3B_Income_Eastern:Schedule 3D_Income_The Cape'!BX45)</f>
        <v>0</v>
      </c>
      <c r="BY45" s="671">
        <f>SUM('Schedule 3B_Income_Eastern:Schedule 3D_Income_The Cape'!BY45)</f>
        <v>189205.86938296427</v>
      </c>
      <c r="BZ45" s="671">
        <f>SUM('Schedule 3B_Income_Eastern:Schedule 3D_Income_The Cape'!BZ45)</f>
        <v>0</v>
      </c>
      <c r="CA45" s="671">
        <f>SUM('Schedule 3B_Income_Eastern:Schedule 3D_Income_The Cape'!CA45)</f>
        <v>273360.102533439</v>
      </c>
      <c r="CB45" s="674">
        <f t="shared" ref="CB45:CB47" si="135">SUM(BT45:CA45)</f>
        <v>766450.94023062766</v>
      </c>
      <c r="CC45" s="675">
        <f t="shared" ref="CC45:CC47" si="136">SUM(CB45,BS45)</f>
        <v>869279.47591513605</v>
      </c>
      <c r="CD45" s="343">
        <v>23</v>
      </c>
      <c r="CE45" s="462">
        <f t="shared" si="101"/>
        <v>1856126.4466179083</v>
      </c>
      <c r="CF45" s="462">
        <f t="shared" si="102"/>
        <v>2346722.2486391962</v>
      </c>
      <c r="CG45" s="462">
        <f t="shared" si="103"/>
        <v>2554549.1722479956</v>
      </c>
      <c r="CH45" s="462">
        <f t="shared" si="104"/>
        <v>2778094.2141527268</v>
      </c>
      <c r="CI45" s="464">
        <f t="shared" si="105"/>
        <v>9535492.0816578269</v>
      </c>
      <c r="CJ45" s="462">
        <f t="shared" si="106"/>
        <v>3408155.8304850915</v>
      </c>
      <c r="CK45" s="462">
        <f t="shared" si="107"/>
        <v>3055836.3033013381</v>
      </c>
      <c r="CL45" s="462">
        <f t="shared" si="108"/>
        <v>2867773.8603555174</v>
      </c>
      <c r="CM45" s="462">
        <f t="shared" si="109"/>
        <v>3129356.7619293053</v>
      </c>
      <c r="CN45" s="464">
        <f t="shared" si="110"/>
        <v>12461122.756071253</v>
      </c>
      <c r="CO45" s="462">
        <f t="shared" si="111"/>
        <v>5264282.2771030003</v>
      </c>
      <c r="CP45" s="462">
        <f t="shared" si="112"/>
        <v>5402558.5519405352</v>
      </c>
      <c r="CQ45" s="462">
        <f t="shared" si="113"/>
        <v>5422323.0326035134</v>
      </c>
      <c r="CR45" s="462">
        <f t="shared" si="114"/>
        <v>5907450.9760820325</v>
      </c>
      <c r="CS45" s="464">
        <f t="shared" si="115"/>
        <v>21996614.837729082</v>
      </c>
      <c r="CU45" s="362"/>
      <c r="CW45" s="362"/>
    </row>
    <row r="46" spans="1:101" ht="15.75" customHeight="1" x14ac:dyDescent="0.25">
      <c r="A46" s="94" t="s">
        <v>1350</v>
      </c>
      <c r="B46" s="343">
        <v>24</v>
      </c>
      <c r="C46" s="671">
        <f>SUM('Schedule 3B_Income_Eastern:Schedule 3D_Income_The Cape'!C46)</f>
        <v>6751.4700000000012</v>
      </c>
      <c r="D46" s="671">
        <f>SUM('Schedule 3B_Income_Eastern:Schedule 3D_Income_The Cape'!D46)</f>
        <v>0</v>
      </c>
      <c r="E46" s="671">
        <f>SUM('Schedule 3B_Income_Eastern:Schedule 3D_Income_The Cape'!E46)</f>
        <v>6193.0799999999981</v>
      </c>
      <c r="F46" s="671">
        <f>SUM('Schedule 3B_Income_Eastern:Schedule 3D_Income_The Cape'!F46)</f>
        <v>0</v>
      </c>
      <c r="G46" s="671">
        <f>SUM('Schedule 3B_Income_Eastern:Schedule 3D_Income_The Cape'!G46)</f>
        <v>14349.360000000004</v>
      </c>
      <c r="H46" s="671">
        <f>SUM('Schedule 3B_Income_Eastern:Schedule 3D_Income_The Cape'!H46)</f>
        <v>0</v>
      </c>
      <c r="I46" s="671">
        <f>SUM('Schedule 3B_Income_Eastern:Schedule 3D_Income_The Cape'!I46)</f>
        <v>16515.559999999998</v>
      </c>
      <c r="J46" s="671">
        <f>SUM('Schedule 3B_Income_Eastern:Schedule 3D_Income_The Cape'!J46)</f>
        <v>0</v>
      </c>
      <c r="K46" s="672">
        <f t="shared" si="126"/>
        <v>43809.47</v>
      </c>
      <c r="L46" s="673">
        <f>SUM('Schedule 3B_Income_Eastern:Schedule 3D_Income_The Cape'!L46)</f>
        <v>0</v>
      </c>
      <c r="M46" s="671">
        <f>SUM('Schedule 3B_Income_Eastern:Schedule 3D_Income_The Cape'!M46)</f>
        <v>55036.540000000015</v>
      </c>
      <c r="N46" s="671">
        <f>SUM('Schedule 3B_Income_Eastern:Schedule 3D_Income_The Cape'!N46)</f>
        <v>0</v>
      </c>
      <c r="O46" s="671">
        <f>SUM('Schedule 3B_Income_Eastern:Schedule 3D_Income_The Cape'!O46)</f>
        <v>55891.769999999968</v>
      </c>
      <c r="P46" s="671">
        <f>SUM('Schedule 3B_Income_Eastern:Schedule 3D_Income_The Cape'!P46)</f>
        <v>0</v>
      </c>
      <c r="Q46" s="671">
        <f>SUM('Schedule 3B_Income_Eastern:Schedule 3D_Income_The Cape'!Q46)</f>
        <v>101943.95000000003</v>
      </c>
      <c r="R46" s="671">
        <f>SUM('Schedule 3B_Income_Eastern:Schedule 3D_Income_The Cape'!R46)</f>
        <v>0</v>
      </c>
      <c r="S46" s="671">
        <f>SUM('Schedule 3B_Income_Eastern:Schedule 3D_Income_The Cape'!S46)</f>
        <v>106820.08000000003</v>
      </c>
      <c r="T46" s="674">
        <f>SUM(L46:S46)</f>
        <v>319692.34000000003</v>
      </c>
      <c r="U46" s="675">
        <f t="shared" si="127"/>
        <v>363501.81000000006</v>
      </c>
      <c r="V46" s="343">
        <v>24</v>
      </c>
      <c r="W46" s="671">
        <f>SUM('Schedule 3B_Income_Eastern:Schedule 3D_Income_The Cape'!W46)</f>
        <v>630.14</v>
      </c>
      <c r="X46" s="671">
        <f>SUM('Schedule 3B_Income_Eastern:Schedule 3D_Income_The Cape'!X46)</f>
        <v>0</v>
      </c>
      <c r="Y46" s="671">
        <f>SUM('Schedule 3B_Income_Eastern:Schedule 3D_Income_The Cape'!Y46)</f>
        <v>177.8</v>
      </c>
      <c r="Z46" s="671">
        <f>SUM('Schedule 3B_Income_Eastern:Schedule 3D_Income_The Cape'!Z46)</f>
        <v>0</v>
      </c>
      <c r="AA46" s="671">
        <f>SUM('Schedule 3B_Income_Eastern:Schedule 3D_Income_The Cape'!AA46)</f>
        <v>1160.0899999999999</v>
      </c>
      <c r="AB46" s="671">
        <f>SUM('Schedule 3B_Income_Eastern:Schedule 3D_Income_The Cape'!AB46)</f>
        <v>0</v>
      </c>
      <c r="AC46" s="671">
        <f>SUM('Schedule 3B_Income_Eastern:Schedule 3D_Income_The Cape'!AC46)</f>
        <v>1560.9499999999998</v>
      </c>
      <c r="AD46" s="671">
        <f>SUM('Schedule 3B_Income_Eastern:Schedule 3D_Income_The Cape'!AD46)</f>
        <v>0</v>
      </c>
      <c r="AE46" s="672">
        <f t="shared" si="128"/>
        <v>3528.9799999999996</v>
      </c>
      <c r="AF46" s="673">
        <f>SUM('Schedule 3B_Income_Eastern:Schedule 3D_Income_The Cape'!AF46)</f>
        <v>0</v>
      </c>
      <c r="AG46" s="671">
        <f>SUM('Schedule 3B_Income_Eastern:Schedule 3D_Income_The Cape'!AG46)</f>
        <v>14410.220000000001</v>
      </c>
      <c r="AH46" s="671">
        <f>SUM('Schedule 3B_Income_Eastern:Schedule 3D_Income_The Cape'!AH46)</f>
        <v>0</v>
      </c>
      <c r="AI46" s="671">
        <f>SUM('Schedule 3B_Income_Eastern:Schedule 3D_Income_The Cape'!AI46)</f>
        <v>10901.609999999999</v>
      </c>
      <c r="AJ46" s="671">
        <f>SUM('Schedule 3B_Income_Eastern:Schedule 3D_Income_The Cape'!AJ46)</f>
        <v>0</v>
      </c>
      <c r="AK46" s="671">
        <f>SUM('Schedule 3B_Income_Eastern:Schedule 3D_Income_The Cape'!AK46)</f>
        <v>26461.51999999999</v>
      </c>
      <c r="AL46" s="671">
        <f>SUM('Schedule 3B_Income_Eastern:Schedule 3D_Income_The Cape'!AL46)</f>
        <v>0</v>
      </c>
      <c r="AM46" s="671">
        <f>SUM('Schedule 3B_Income_Eastern:Schedule 3D_Income_The Cape'!AM46)</f>
        <v>31403.850000000002</v>
      </c>
      <c r="AN46" s="674">
        <f t="shared" si="129"/>
        <v>83177.2</v>
      </c>
      <c r="AO46" s="675">
        <f t="shared" si="130"/>
        <v>86706.18</v>
      </c>
      <c r="AP46" s="343">
        <v>24</v>
      </c>
      <c r="AQ46" s="671">
        <f>SUM('Schedule 3B_Income_Eastern:Schedule 3D_Income_The Cape'!AQ46)</f>
        <v>48422.900000000023</v>
      </c>
      <c r="AR46" s="671">
        <f>SUM('Schedule 3B_Income_Eastern:Schedule 3D_Income_The Cape'!AR46)</f>
        <v>0</v>
      </c>
      <c r="AS46" s="671">
        <f>SUM('Schedule 3B_Income_Eastern:Schedule 3D_Income_The Cape'!AS46)</f>
        <v>41861.080000000009</v>
      </c>
      <c r="AT46" s="671">
        <f>SUM('Schedule 3B_Income_Eastern:Schedule 3D_Income_The Cape'!AT46)</f>
        <v>0</v>
      </c>
      <c r="AU46" s="671">
        <f>SUM('Schedule 3B_Income_Eastern:Schedule 3D_Income_The Cape'!AU46)</f>
        <v>111305.79999999957</v>
      </c>
      <c r="AV46" s="671">
        <f>SUM('Schedule 3B_Income_Eastern:Schedule 3D_Income_The Cape'!AV46)</f>
        <v>0</v>
      </c>
      <c r="AW46" s="671">
        <f>SUM('Schedule 3B_Income_Eastern:Schedule 3D_Income_The Cape'!AW46)</f>
        <v>123713.2799999998</v>
      </c>
      <c r="AX46" s="671">
        <f>SUM('Schedule 3B_Income_Eastern:Schedule 3D_Income_The Cape'!AX46)</f>
        <v>0</v>
      </c>
      <c r="AY46" s="672">
        <f t="shared" si="131"/>
        <v>325303.05999999942</v>
      </c>
      <c r="AZ46" s="673">
        <f>SUM('Schedule 3B_Income_Eastern:Schedule 3D_Income_The Cape'!AZ46)</f>
        <v>0</v>
      </c>
      <c r="BA46" s="671">
        <f>SUM('Schedule 3B_Income_Eastern:Schedule 3D_Income_The Cape'!BA46)</f>
        <v>464408.78999999951</v>
      </c>
      <c r="BB46" s="671">
        <f>SUM('Schedule 3B_Income_Eastern:Schedule 3D_Income_The Cape'!BB46)</f>
        <v>0</v>
      </c>
      <c r="BC46" s="671">
        <f>SUM('Schedule 3B_Income_Eastern:Schedule 3D_Income_The Cape'!BC46)</f>
        <v>467461.82000000007</v>
      </c>
      <c r="BD46" s="671">
        <f>SUM('Schedule 3B_Income_Eastern:Schedule 3D_Income_The Cape'!BD46)</f>
        <v>0</v>
      </c>
      <c r="BE46" s="671">
        <f>SUM('Schedule 3B_Income_Eastern:Schedule 3D_Income_The Cape'!BE46)</f>
        <v>705059.50000000466</v>
      </c>
      <c r="BF46" s="671">
        <f>SUM('Schedule 3B_Income_Eastern:Schedule 3D_Income_The Cape'!BF46)</f>
        <v>0</v>
      </c>
      <c r="BG46" s="671">
        <f>SUM('Schedule 3B_Income_Eastern:Schedule 3D_Income_The Cape'!BG46)</f>
        <v>768382.90999999887</v>
      </c>
      <c r="BH46" s="674">
        <f t="shared" si="132"/>
        <v>2405313.0200000033</v>
      </c>
      <c r="BI46" s="675">
        <f t="shared" si="133"/>
        <v>2730616.0800000029</v>
      </c>
      <c r="BJ46" s="343">
        <v>24</v>
      </c>
      <c r="BK46" s="671">
        <f>SUM('Schedule 3B_Income_Eastern:Schedule 3D_Income_The Cape'!BK46)</f>
        <v>280.37</v>
      </c>
      <c r="BL46" s="671">
        <f>SUM('Schedule 3B_Income_Eastern:Schedule 3D_Income_The Cape'!BL46)</f>
        <v>0</v>
      </c>
      <c r="BM46" s="671">
        <f>SUM('Schedule 3B_Income_Eastern:Schedule 3D_Income_The Cape'!BM46)</f>
        <v>0</v>
      </c>
      <c r="BN46" s="671">
        <f>SUM('Schedule 3B_Income_Eastern:Schedule 3D_Income_The Cape'!BN46)</f>
        <v>0</v>
      </c>
      <c r="BO46" s="671">
        <f>SUM('Schedule 3B_Income_Eastern:Schedule 3D_Income_The Cape'!BO46)</f>
        <v>677.26</v>
      </c>
      <c r="BP46" s="671">
        <f>SUM('Schedule 3B_Income_Eastern:Schedule 3D_Income_The Cape'!BP46)</f>
        <v>0</v>
      </c>
      <c r="BQ46" s="671">
        <f>SUM('Schedule 3B_Income_Eastern:Schedule 3D_Income_The Cape'!BQ46)</f>
        <v>438.62</v>
      </c>
      <c r="BR46" s="671">
        <f>SUM('Schedule 3B_Income_Eastern:Schedule 3D_Income_The Cape'!BR46)</f>
        <v>0</v>
      </c>
      <c r="BS46" s="672">
        <f t="shared" si="134"/>
        <v>1396.25</v>
      </c>
      <c r="BT46" s="673">
        <f>SUM('Schedule 3B_Income_Eastern:Schedule 3D_Income_The Cape'!BT46)</f>
        <v>0</v>
      </c>
      <c r="BU46" s="671">
        <f>SUM('Schedule 3B_Income_Eastern:Schedule 3D_Income_The Cape'!BU46)</f>
        <v>2685.1600000000003</v>
      </c>
      <c r="BV46" s="671">
        <f>SUM('Schedule 3B_Income_Eastern:Schedule 3D_Income_The Cape'!BV46)</f>
        <v>0</v>
      </c>
      <c r="BW46" s="671">
        <f>SUM('Schedule 3B_Income_Eastern:Schedule 3D_Income_The Cape'!BW46)</f>
        <v>3239.0200000000004</v>
      </c>
      <c r="BX46" s="671">
        <f>SUM('Schedule 3B_Income_Eastern:Schedule 3D_Income_The Cape'!BX46)</f>
        <v>0</v>
      </c>
      <c r="BY46" s="671">
        <f>SUM('Schedule 3B_Income_Eastern:Schedule 3D_Income_The Cape'!BY46)</f>
        <v>8263.59</v>
      </c>
      <c r="BZ46" s="671">
        <f>SUM('Schedule 3B_Income_Eastern:Schedule 3D_Income_The Cape'!BZ46)</f>
        <v>0</v>
      </c>
      <c r="CA46" s="671">
        <f>SUM('Schedule 3B_Income_Eastern:Schedule 3D_Income_The Cape'!CA46)</f>
        <v>14518.610000000004</v>
      </c>
      <c r="CB46" s="674">
        <f t="shared" si="135"/>
        <v>28706.380000000005</v>
      </c>
      <c r="CC46" s="675">
        <f t="shared" si="136"/>
        <v>30102.630000000005</v>
      </c>
      <c r="CD46" s="343">
        <v>24</v>
      </c>
      <c r="CE46" s="462">
        <f t="shared" si="101"/>
        <v>56084.880000000026</v>
      </c>
      <c r="CF46" s="462">
        <f t="shared" si="102"/>
        <v>48231.960000000006</v>
      </c>
      <c r="CG46" s="462">
        <f t="shared" si="103"/>
        <v>127492.50999999956</v>
      </c>
      <c r="CH46" s="462">
        <f t="shared" si="104"/>
        <v>142228.4099999998</v>
      </c>
      <c r="CI46" s="464">
        <f t="shared" si="105"/>
        <v>374037.75999999943</v>
      </c>
      <c r="CJ46" s="462">
        <f t="shared" si="106"/>
        <v>536540.70999999961</v>
      </c>
      <c r="CK46" s="462">
        <f t="shared" si="107"/>
        <v>537494.22000000009</v>
      </c>
      <c r="CL46" s="462">
        <f t="shared" si="108"/>
        <v>841728.5600000046</v>
      </c>
      <c r="CM46" s="462">
        <f t="shared" si="109"/>
        <v>921125.44999999891</v>
      </c>
      <c r="CN46" s="464">
        <f t="shared" si="110"/>
        <v>2836888.9400000032</v>
      </c>
      <c r="CO46" s="462">
        <f t="shared" si="111"/>
        <v>592625.58999999962</v>
      </c>
      <c r="CP46" s="462">
        <f t="shared" si="112"/>
        <v>585726.18000000005</v>
      </c>
      <c r="CQ46" s="462">
        <f t="shared" si="113"/>
        <v>969221.07000000414</v>
      </c>
      <c r="CR46" s="462">
        <f t="shared" si="114"/>
        <v>1063353.8599999989</v>
      </c>
      <c r="CS46" s="464">
        <f t="shared" si="115"/>
        <v>3210926.700000003</v>
      </c>
    </row>
    <row r="47" spans="1:101" ht="15.75" customHeight="1" x14ac:dyDescent="0.25">
      <c r="A47" s="94" t="s">
        <v>1351</v>
      </c>
      <c r="B47" s="343">
        <v>25</v>
      </c>
      <c r="C47" s="671">
        <f>SUM('Schedule 3B_Income_Eastern:Schedule 3D_Income_The Cape'!C47)</f>
        <v>4918.7740317388625</v>
      </c>
      <c r="D47" s="671">
        <f>SUM('Schedule 3B_Income_Eastern:Schedule 3D_Income_The Cape'!D47)</f>
        <v>0</v>
      </c>
      <c r="E47" s="671">
        <f>SUM('Schedule 3B_Income_Eastern:Schedule 3D_Income_The Cape'!E47)</f>
        <v>4668.0507027984604</v>
      </c>
      <c r="F47" s="671">
        <f>SUM('Schedule 3B_Income_Eastern:Schedule 3D_Income_The Cape'!F47)</f>
        <v>0</v>
      </c>
      <c r="G47" s="671">
        <f>SUM('Schedule 3B_Income_Eastern:Schedule 3D_Income_The Cape'!G47)</f>
        <v>11330.888043368284</v>
      </c>
      <c r="H47" s="671">
        <f>SUM('Schedule 3B_Income_Eastern:Schedule 3D_Income_The Cape'!H47)</f>
        <v>0</v>
      </c>
      <c r="I47" s="671">
        <f>SUM('Schedule 3B_Income_Eastern:Schedule 3D_Income_The Cape'!I47)</f>
        <v>13270.314802248808</v>
      </c>
      <c r="J47" s="671">
        <f>SUM('Schedule 3B_Income_Eastern:Schedule 3D_Income_The Cape'!J47)</f>
        <v>0</v>
      </c>
      <c r="K47" s="672">
        <f t="shared" si="126"/>
        <v>34188.027580154419</v>
      </c>
      <c r="L47" s="673">
        <f>SUM('Schedule 3B_Income_Eastern:Schedule 3D_Income_The Cape'!L47)</f>
        <v>0</v>
      </c>
      <c r="M47" s="671">
        <f>SUM('Schedule 3B_Income_Eastern:Schedule 3D_Income_The Cape'!M47)</f>
        <v>36595.006920307118</v>
      </c>
      <c r="N47" s="671">
        <f>SUM('Schedule 3B_Income_Eastern:Schedule 3D_Income_The Cape'!N47)</f>
        <v>0</v>
      </c>
      <c r="O47" s="671">
        <f>SUM('Schedule 3B_Income_Eastern:Schedule 3D_Income_The Cape'!O47)</f>
        <v>37196.891660050263</v>
      </c>
      <c r="P47" s="671">
        <f>SUM('Schedule 3B_Income_Eastern:Schedule 3D_Income_The Cape'!P47)</f>
        <v>0</v>
      </c>
      <c r="Q47" s="671">
        <f>SUM('Schedule 3B_Income_Eastern:Schedule 3D_Income_The Cape'!Q47)</f>
        <v>80169.962343198044</v>
      </c>
      <c r="R47" s="671">
        <f>SUM('Schedule 3B_Income_Eastern:Schedule 3D_Income_The Cape'!R47)</f>
        <v>0</v>
      </c>
      <c r="S47" s="671">
        <f>SUM('Schedule 3B_Income_Eastern:Schedule 3D_Income_The Cape'!S47)</f>
        <v>85971.201635660036</v>
      </c>
      <c r="T47" s="674">
        <f>SUM(L47:S47)</f>
        <v>239933.06255921547</v>
      </c>
      <c r="U47" s="675">
        <f t="shared" si="127"/>
        <v>274121.09013936989</v>
      </c>
      <c r="V47" s="343">
        <v>25</v>
      </c>
      <c r="W47" s="671">
        <f>SUM('Schedule 3B_Income_Eastern:Schedule 3D_Income_The Cape'!W47)</f>
        <v>459.08761623171347</v>
      </c>
      <c r="X47" s="671">
        <f>SUM('Schedule 3B_Income_Eastern:Schedule 3D_Income_The Cape'!X47)</f>
        <v>0</v>
      </c>
      <c r="Y47" s="671">
        <f>SUM('Schedule 3B_Income_Eastern:Schedule 3D_Income_The Cape'!Y47)</f>
        <v>134.01722809289828</v>
      </c>
      <c r="Z47" s="671">
        <f>SUM('Schedule 3B_Income_Eastern:Schedule 3D_Income_The Cape'!Z47)</f>
        <v>0</v>
      </c>
      <c r="AA47" s="671">
        <f>SUM('Schedule 3B_Income_Eastern:Schedule 3D_Income_The Cape'!AA47)</f>
        <v>916.05827090762989</v>
      </c>
      <c r="AB47" s="671">
        <f>SUM('Schedule 3B_Income_Eastern:Schedule 3D_Income_The Cape'!AB47)</f>
        <v>0</v>
      </c>
      <c r="AC47" s="671">
        <f>SUM('Schedule 3B_Income_Eastern:Schedule 3D_Income_The Cape'!AC47)</f>
        <v>1254.2292172091215</v>
      </c>
      <c r="AD47" s="671">
        <f>SUM('Schedule 3B_Income_Eastern:Schedule 3D_Income_The Cape'!AD47)</f>
        <v>0</v>
      </c>
      <c r="AE47" s="672">
        <f t="shared" si="128"/>
        <v>2763.3923324413631</v>
      </c>
      <c r="AF47" s="673">
        <f>SUM('Schedule 3B_Income_Eastern:Schedule 3D_Income_The Cape'!AF47)</f>
        <v>0</v>
      </c>
      <c r="AG47" s="671">
        <f>SUM('Schedule 3B_Income_Eastern:Schedule 3D_Income_The Cape'!AG47)</f>
        <v>9581.6724783779628</v>
      </c>
      <c r="AH47" s="671">
        <f>SUM('Schedule 3B_Income_Eastern:Schedule 3D_Income_The Cape'!AH47)</f>
        <v>0</v>
      </c>
      <c r="AI47" s="671">
        <f>SUM('Schedule 3B_Income_Eastern:Schedule 3D_Income_The Cape'!AI47)</f>
        <v>7255.2006510103492</v>
      </c>
      <c r="AJ47" s="671">
        <f>SUM('Schedule 3B_Income_Eastern:Schedule 3D_Income_The Cape'!AJ47)</f>
        <v>0</v>
      </c>
      <c r="AK47" s="671">
        <f>SUM('Schedule 3B_Income_Eastern:Schedule 3D_Income_The Cape'!AK47)</f>
        <v>20809.661210339411</v>
      </c>
      <c r="AL47" s="671">
        <f>SUM('Schedule 3B_Income_Eastern:Schedule 3D_Income_The Cape'!AL47)</f>
        <v>0</v>
      </c>
      <c r="AM47" s="671">
        <f>SUM('Schedule 3B_Income_Eastern:Schedule 3D_Income_The Cape'!AM47)</f>
        <v>25274.524419809663</v>
      </c>
      <c r="AN47" s="674">
        <f t="shared" si="129"/>
        <v>62921.05875953738</v>
      </c>
      <c r="AO47" s="675">
        <f t="shared" si="130"/>
        <v>65684.451091978743</v>
      </c>
      <c r="AP47" s="343">
        <v>25</v>
      </c>
      <c r="AQ47" s="671">
        <f>SUM('Schedule 3B_Income_Eastern:Schedule 3D_Income_The Cape'!AQ47)</f>
        <v>35278.436112652184</v>
      </c>
      <c r="AR47" s="671">
        <f>SUM('Schedule 3B_Income_Eastern:Schedule 3D_Income_The Cape'!AR47)</f>
        <v>0</v>
      </c>
      <c r="AS47" s="671">
        <f>SUM('Schedule 3B_Income_Eastern:Schedule 3D_Income_The Cape'!AS47)</f>
        <v>31552.901611783258</v>
      </c>
      <c r="AT47" s="671">
        <f>SUM('Schedule 3B_Income_Eastern:Schedule 3D_Income_The Cape'!AT47)</f>
        <v>0</v>
      </c>
      <c r="AU47" s="671">
        <f>SUM('Schedule 3B_Income_Eastern:Schedule 3D_Income_The Cape'!AU47)</f>
        <v>87891.97276934555</v>
      </c>
      <c r="AV47" s="671">
        <f>SUM('Schedule 3B_Income_Eastern:Schedule 3D_Income_The Cape'!AV47)</f>
        <v>0</v>
      </c>
      <c r="AW47" s="671">
        <f>SUM('Schedule 3B_Income_Eastern:Schedule 3D_Income_The Cape'!AW47)</f>
        <v>99404.087467742473</v>
      </c>
      <c r="AX47" s="671">
        <f>SUM('Schedule 3B_Income_Eastern:Schedule 3D_Income_The Cape'!AX47)</f>
        <v>0</v>
      </c>
      <c r="AY47" s="672">
        <f t="shared" si="131"/>
        <v>254127.39796152347</v>
      </c>
      <c r="AZ47" s="673">
        <f>SUM('Schedule 3B_Income_Eastern:Schedule 3D_Income_The Cape'!AZ47)</f>
        <v>0</v>
      </c>
      <c r="BA47" s="671">
        <f>SUM('Schedule 3B_Income_Eastern:Schedule 3D_Income_The Cape'!BA47)</f>
        <v>308795.6271215711</v>
      </c>
      <c r="BB47" s="671">
        <f>SUM('Schedule 3B_Income_Eastern:Schedule 3D_Income_The Cape'!BB47)</f>
        <v>0</v>
      </c>
      <c r="BC47" s="671">
        <f>SUM('Schedule 3B_Income_Eastern:Schedule 3D_Income_The Cape'!BC47)</f>
        <v>311103.52514779777</v>
      </c>
      <c r="BD47" s="671">
        <f>SUM('Schedule 3B_Income_Eastern:Schedule 3D_Income_The Cape'!BD47)</f>
        <v>0</v>
      </c>
      <c r="BE47" s="671">
        <f>SUM('Schedule 3B_Income_Eastern:Schedule 3D_Income_The Cape'!BE47)</f>
        <v>554467.36726126855</v>
      </c>
      <c r="BF47" s="671">
        <f>SUM('Schedule 3B_Income_Eastern:Schedule 3D_Income_The Cape'!BF47)</f>
        <v>0</v>
      </c>
      <c r="BG47" s="671">
        <f>SUM('Schedule 3B_Income_Eastern:Schedule 3D_Income_The Cape'!BG47)</f>
        <v>618411.83875732997</v>
      </c>
      <c r="BH47" s="674">
        <f t="shared" si="132"/>
        <v>1792778.3582879673</v>
      </c>
      <c r="BI47" s="675">
        <f t="shared" si="133"/>
        <v>2046905.7562494907</v>
      </c>
      <c r="BJ47" s="343">
        <v>25</v>
      </c>
      <c r="BK47" s="671">
        <f>SUM('Schedule 3B_Income_Eastern:Schedule 3D_Income_The Cape'!BK47)</f>
        <v>204.26317161723665</v>
      </c>
      <c r="BL47" s="671">
        <f>SUM('Schedule 3B_Income_Eastern:Schedule 3D_Income_The Cape'!BL47)</f>
        <v>0</v>
      </c>
      <c r="BM47" s="671">
        <f>SUM('Schedule 3B_Income_Eastern:Schedule 3D_Income_The Cape'!BM47)</f>
        <v>0</v>
      </c>
      <c r="BN47" s="671">
        <f>SUM('Schedule 3B_Income_Eastern:Schedule 3D_Income_The Cape'!BN47)</f>
        <v>0</v>
      </c>
      <c r="BO47" s="671">
        <f>SUM('Schedule 3B_Income_Eastern:Schedule 3D_Income_The Cape'!BO47)</f>
        <v>534.79439056875026</v>
      </c>
      <c r="BP47" s="671">
        <f>SUM('Schedule 3B_Income_Eastern:Schedule 3D_Income_The Cape'!BP47)</f>
        <v>0</v>
      </c>
      <c r="BQ47" s="671">
        <f>SUM('Schedule 3B_Income_Eastern:Schedule 3D_Income_The Cape'!BQ47)</f>
        <v>352.43282568452861</v>
      </c>
      <c r="BR47" s="671">
        <f>SUM('Schedule 3B_Income_Eastern:Schedule 3D_Income_The Cape'!BR47)</f>
        <v>0</v>
      </c>
      <c r="BS47" s="672">
        <f t="shared" si="134"/>
        <v>1091.4903878705154</v>
      </c>
      <c r="BT47" s="673">
        <f>SUM('Schedule 3B_Income_Eastern:Schedule 3D_Income_The Cape'!BT47)</f>
        <v>0</v>
      </c>
      <c r="BU47" s="671">
        <f>SUM('Schedule 3B_Income_Eastern:Schedule 3D_Income_The Cape'!BU47)</f>
        <v>1785.4219902292521</v>
      </c>
      <c r="BV47" s="671">
        <f>SUM('Schedule 3B_Income_Eastern:Schedule 3D_Income_The Cape'!BV47)</f>
        <v>0</v>
      </c>
      <c r="BW47" s="671">
        <f>SUM('Schedule 3B_Income_Eastern:Schedule 3D_Income_The Cape'!BW47)</f>
        <v>2155.6210516277456</v>
      </c>
      <c r="BX47" s="671">
        <f>SUM('Schedule 3B_Income_Eastern:Schedule 3D_Income_The Cape'!BX47)</f>
        <v>0</v>
      </c>
      <c r="BY47" s="671">
        <f>SUM('Schedule 3B_Income_Eastern:Schedule 3D_Income_The Cape'!BY47)</f>
        <v>6498.5876956859902</v>
      </c>
      <c r="BZ47" s="671">
        <f>SUM('Schedule 3B_Income_Eastern:Schedule 3D_Income_The Cape'!BZ47)</f>
        <v>0</v>
      </c>
      <c r="CA47" s="671">
        <f>SUM('Schedule 3B_Income_Eastern:Schedule 3D_Income_The Cape'!CA47)</f>
        <v>11684.903697689706</v>
      </c>
      <c r="CB47" s="674">
        <f t="shared" si="135"/>
        <v>22124.534435232694</v>
      </c>
      <c r="CC47" s="675">
        <f t="shared" si="136"/>
        <v>23216.024823103209</v>
      </c>
      <c r="CD47" s="343">
        <v>25</v>
      </c>
      <c r="CE47" s="462">
        <f t="shared" si="101"/>
        <v>40860.560932239998</v>
      </c>
      <c r="CF47" s="462">
        <f t="shared" si="102"/>
        <v>36354.969542674618</v>
      </c>
      <c r="CG47" s="462">
        <f t="shared" si="103"/>
        <v>100673.71347419023</v>
      </c>
      <c r="CH47" s="462">
        <f t="shared" si="104"/>
        <v>114281.06431288493</v>
      </c>
      <c r="CI47" s="464">
        <f t="shared" si="105"/>
        <v>292170.30826198979</v>
      </c>
      <c r="CJ47" s="462">
        <f t="shared" si="106"/>
        <v>356757.72851048544</v>
      </c>
      <c r="CK47" s="462">
        <f t="shared" si="107"/>
        <v>357711.23851048615</v>
      </c>
      <c r="CL47" s="462">
        <f t="shared" si="108"/>
        <v>661945.57851049199</v>
      </c>
      <c r="CM47" s="462">
        <f t="shared" si="109"/>
        <v>741342.46851048945</v>
      </c>
      <c r="CN47" s="464">
        <f t="shared" si="110"/>
        <v>2117757.0140419528</v>
      </c>
      <c r="CO47" s="462">
        <f t="shared" si="111"/>
        <v>397618.28944272536</v>
      </c>
      <c r="CP47" s="462">
        <f t="shared" si="112"/>
        <v>394066.20805316075</v>
      </c>
      <c r="CQ47" s="462">
        <f t="shared" si="113"/>
        <v>762619.2919846822</v>
      </c>
      <c r="CR47" s="462">
        <f t="shared" si="114"/>
        <v>855623.53282337438</v>
      </c>
      <c r="CS47" s="464">
        <f t="shared" si="115"/>
        <v>2409927.3223039424</v>
      </c>
    </row>
    <row r="48" spans="1:101" ht="15.75" customHeight="1" x14ac:dyDescent="0.25">
      <c r="A48" s="94" t="s">
        <v>228</v>
      </c>
      <c r="B48" s="343">
        <v>26</v>
      </c>
      <c r="C48" s="671">
        <f>SUM('Schedule 3B_Income_Eastern:Schedule 3D_Income_The Cape'!C48)</f>
        <v>21631.439999999981</v>
      </c>
      <c r="D48" s="671">
        <f>SUM('Schedule 3B_Income_Eastern:Schedule 3D_Income_The Cape'!D48)</f>
        <v>5857.7299999999941</v>
      </c>
      <c r="E48" s="671">
        <f>SUM('Schedule 3B_Income_Eastern:Schedule 3D_Income_The Cape'!E48)</f>
        <v>29672.91444780412</v>
      </c>
      <c r="F48" s="671">
        <f>SUM('Schedule 3B_Income_Eastern:Schedule 3D_Income_The Cape'!F48)</f>
        <v>15146.589566136154</v>
      </c>
      <c r="G48" s="671">
        <f>SUM('Schedule 3B_Income_Eastern:Schedule 3D_Income_The Cape'!G48)</f>
        <v>40038.037840406243</v>
      </c>
      <c r="H48" s="671">
        <f>SUM('Schedule 3B_Income_Eastern:Schedule 3D_Income_The Cape'!H48)</f>
        <v>10350.397779663926</v>
      </c>
      <c r="I48" s="671">
        <f>SUM('Schedule 3B_Income_Eastern:Schedule 3D_Income_The Cape'!I48)</f>
        <v>25525.859492911331</v>
      </c>
      <c r="J48" s="671">
        <f>SUM('Schedule 3B_Income_Eastern:Schedule 3D_Income_The Cape'!J48)</f>
        <v>10486.415176696124</v>
      </c>
      <c r="K48" s="672">
        <f t="shared" si="89"/>
        <v>158709.38430361787</v>
      </c>
      <c r="L48" s="673">
        <f>SUM('Schedule 3B_Income_Eastern:Schedule 3D_Income_The Cape'!L48)</f>
        <v>0</v>
      </c>
      <c r="M48" s="671">
        <f>SUM('Schedule 3B_Income_Eastern:Schedule 3D_Income_The Cape'!M48)</f>
        <v>64727.789999999994</v>
      </c>
      <c r="N48" s="671">
        <f>SUM('Schedule 3B_Income_Eastern:Schedule 3D_Income_The Cape'!N48)</f>
        <v>0</v>
      </c>
      <c r="O48" s="671">
        <f>SUM('Schedule 3B_Income_Eastern:Schedule 3D_Income_The Cape'!O48)</f>
        <v>142419.24493714102</v>
      </c>
      <c r="P48" s="671">
        <f>SUM('Schedule 3B_Income_Eastern:Schedule 3D_Income_The Cape'!P48)</f>
        <v>0</v>
      </c>
      <c r="Q48" s="671">
        <f>SUM('Schedule 3B_Income_Eastern:Schedule 3D_Income_The Cape'!Q48)</f>
        <v>130381.32700446314</v>
      </c>
      <c r="R48" s="671">
        <f>SUM('Schedule 3B_Income_Eastern:Schedule 3D_Income_The Cape'!R48)</f>
        <v>0</v>
      </c>
      <c r="S48" s="671">
        <f>SUM('Schedule 3B_Income_Eastern:Schedule 3D_Income_The Cape'!S48)</f>
        <v>126101.23960988413</v>
      </c>
      <c r="T48" s="674">
        <f t="shared" si="90"/>
        <v>463629.60155148827</v>
      </c>
      <c r="U48" s="675">
        <f t="shared" si="91"/>
        <v>622338.98585510615</v>
      </c>
      <c r="V48" s="343">
        <v>26</v>
      </c>
      <c r="W48" s="671">
        <f>SUM('Schedule 3B_Income_Eastern:Schedule 3D_Income_The Cape'!W48)</f>
        <v>872.96999999999912</v>
      </c>
      <c r="X48" s="671">
        <f>SUM('Schedule 3B_Income_Eastern:Schedule 3D_Income_The Cape'!X48)</f>
        <v>4147.8899999999958</v>
      </c>
      <c r="Y48" s="671">
        <f>SUM('Schedule 3B_Income_Eastern:Schedule 3D_Income_The Cape'!Y48)</f>
        <v>449.07683209731249</v>
      </c>
      <c r="Z48" s="671">
        <f>SUM('Schedule 3B_Income_Eastern:Schedule 3D_Income_The Cape'!Z48)</f>
        <v>3211.1248730145639</v>
      </c>
      <c r="AA48" s="671">
        <f>SUM('Schedule 3B_Income_Eastern:Schedule 3D_Income_The Cape'!AA48)</f>
        <v>382.69013464683917</v>
      </c>
      <c r="AB48" s="671">
        <f>SUM('Schedule 3B_Income_Eastern:Schedule 3D_Income_The Cape'!AB48)</f>
        <v>1241.7377121930369</v>
      </c>
      <c r="AC48" s="671">
        <f>SUM('Schedule 3B_Income_Eastern:Schedule 3D_Income_The Cape'!AC48)</f>
        <v>433.37429335016958</v>
      </c>
      <c r="AD48" s="671">
        <f>SUM('Schedule 3B_Income_Eastern:Schedule 3D_Income_The Cape'!AD48)</f>
        <v>2051.7185590242511</v>
      </c>
      <c r="AE48" s="672">
        <f t="shared" si="92"/>
        <v>12790.582404326167</v>
      </c>
      <c r="AF48" s="673">
        <f>SUM('Schedule 3B_Income_Eastern:Schedule 3D_Income_The Cape'!AF48)</f>
        <v>0</v>
      </c>
      <c r="AG48" s="671">
        <f>SUM('Schedule 3B_Income_Eastern:Schedule 3D_Income_The Cape'!AG48)</f>
        <v>29344.71</v>
      </c>
      <c r="AH48" s="671">
        <f>SUM('Schedule 3B_Income_Eastern:Schedule 3D_Income_The Cape'!AH48)</f>
        <v>0</v>
      </c>
      <c r="AI48" s="671">
        <f>SUM('Schedule 3B_Income_Eastern:Schedule 3D_Income_The Cape'!AI48)</f>
        <v>23772.437472602818</v>
      </c>
      <c r="AJ48" s="671">
        <f>SUM('Schedule 3B_Income_Eastern:Schedule 3D_Income_The Cape'!AJ48)</f>
        <v>0</v>
      </c>
      <c r="AK48" s="671">
        <f>SUM('Schedule 3B_Income_Eastern:Schedule 3D_Income_The Cape'!AK48)</f>
        <v>17926.706501358214</v>
      </c>
      <c r="AL48" s="671">
        <f>SUM('Schedule 3B_Income_Eastern:Schedule 3D_Income_The Cape'!AL48)</f>
        <v>0</v>
      </c>
      <c r="AM48" s="671">
        <f>SUM('Schedule 3B_Income_Eastern:Schedule 3D_Income_The Cape'!AM48)</f>
        <v>29551.106063030129</v>
      </c>
      <c r="AN48" s="674">
        <f t="shared" si="93"/>
        <v>100594.96003699116</v>
      </c>
      <c r="AO48" s="675">
        <f t="shared" si="94"/>
        <v>113385.54244131733</v>
      </c>
      <c r="AP48" s="343">
        <v>26</v>
      </c>
      <c r="AQ48" s="671">
        <f>SUM('Schedule 3B_Income_Eastern:Schedule 3D_Income_The Cape'!AQ48)</f>
        <v>82275.269999999917</v>
      </c>
      <c r="AR48" s="671">
        <f>SUM('Schedule 3B_Income_Eastern:Schedule 3D_Income_The Cape'!AR48)</f>
        <v>39144.439999999966</v>
      </c>
      <c r="AS48" s="671">
        <f>SUM('Schedule 3B_Income_Eastern:Schedule 3D_Income_The Cape'!AS48)</f>
        <v>87079.531112147146</v>
      </c>
      <c r="AT48" s="671">
        <f>SUM('Schedule 3B_Income_Eastern:Schedule 3D_Income_The Cape'!AT48)</f>
        <v>43783.956021541482</v>
      </c>
      <c r="AU48" s="671">
        <f>SUM('Schedule 3B_Income_Eastern:Schedule 3D_Income_The Cape'!AU48)</f>
        <v>85075.240313062124</v>
      </c>
      <c r="AV48" s="671">
        <f>SUM('Schedule 3B_Income_Eastern:Schedule 3D_Income_The Cape'!AV48)</f>
        <v>32871.257085054385</v>
      </c>
      <c r="AW48" s="671">
        <f>SUM('Schedule 3B_Income_Eastern:Schedule 3D_Income_The Cape'!AW48)</f>
        <v>92448.420152838968</v>
      </c>
      <c r="AX48" s="671">
        <f>SUM('Schedule 3B_Income_Eastern:Schedule 3D_Income_The Cape'!AX48)</f>
        <v>35414.953522735057</v>
      </c>
      <c r="AY48" s="672">
        <f t="shared" si="95"/>
        <v>498093.06820737902</v>
      </c>
      <c r="AZ48" s="673">
        <f>SUM('Schedule 3B_Income_Eastern:Schedule 3D_Income_The Cape'!AZ48)</f>
        <v>0</v>
      </c>
      <c r="BA48" s="671">
        <f>SUM('Schedule 3B_Income_Eastern:Schedule 3D_Income_The Cape'!BA48)</f>
        <v>387299.34999999986</v>
      </c>
      <c r="BB48" s="671">
        <f>SUM('Schedule 3B_Income_Eastern:Schedule 3D_Income_The Cape'!BB48)</f>
        <v>0</v>
      </c>
      <c r="BC48" s="671">
        <f>SUM('Schedule 3B_Income_Eastern:Schedule 3D_Income_The Cape'!BC48)</f>
        <v>365927.81592322851</v>
      </c>
      <c r="BD48" s="671">
        <f>SUM('Schedule 3B_Income_Eastern:Schedule 3D_Income_The Cape'!BD48)</f>
        <v>0</v>
      </c>
      <c r="BE48" s="671">
        <f>SUM('Schedule 3B_Income_Eastern:Schedule 3D_Income_The Cape'!BE48)</f>
        <v>409894.12624900677</v>
      </c>
      <c r="BF48" s="671">
        <f>SUM('Schedule 3B_Income_Eastern:Schedule 3D_Income_The Cape'!BF48)</f>
        <v>0</v>
      </c>
      <c r="BG48" s="671">
        <f>SUM('Schedule 3B_Income_Eastern:Schedule 3D_Income_The Cape'!BG48)</f>
        <v>429990.60782010289</v>
      </c>
      <c r="BH48" s="674">
        <f t="shared" si="96"/>
        <v>1593111.8999923381</v>
      </c>
      <c r="BI48" s="675">
        <f t="shared" si="97"/>
        <v>2091204.9681997171</v>
      </c>
      <c r="BJ48" s="343">
        <v>26</v>
      </c>
      <c r="BK48" s="671">
        <f>SUM('Schedule 3B_Income_Eastern:Schedule 3D_Income_The Cape'!BK48)</f>
        <v>1749.8199999999983</v>
      </c>
      <c r="BL48" s="671">
        <f>SUM('Schedule 3B_Income_Eastern:Schedule 3D_Income_The Cape'!BL48)</f>
        <v>6170.1499999999933</v>
      </c>
      <c r="BM48" s="671">
        <f>SUM('Schedule 3B_Income_Eastern:Schedule 3D_Income_The Cape'!BM48)</f>
        <v>196.65050775069494</v>
      </c>
      <c r="BN48" s="671">
        <f>SUM('Schedule 3B_Income_Eastern:Schedule 3D_Income_The Cape'!BN48)</f>
        <v>3409.4155518109351</v>
      </c>
      <c r="BO48" s="671">
        <f>SUM('Schedule 3B_Income_Eastern:Schedule 3D_Income_The Cape'!BO48)</f>
        <v>976.55729128826704</v>
      </c>
      <c r="BP48" s="671">
        <f>SUM('Schedule 3B_Income_Eastern:Schedule 3D_Income_The Cape'!BP48)</f>
        <v>3482.012589697676</v>
      </c>
      <c r="BQ48" s="671">
        <f>SUM('Schedule 3B_Income_Eastern:Schedule 3D_Income_The Cape'!BQ48)</f>
        <v>2087.9445196056649</v>
      </c>
      <c r="BR48" s="671">
        <f>SUM('Schedule 3B_Income_Eastern:Schedule 3D_Income_The Cape'!BR48)</f>
        <v>4101.0039561110334</v>
      </c>
      <c r="BS48" s="672">
        <f t="shared" si="98"/>
        <v>22173.554416264262</v>
      </c>
      <c r="BT48" s="673">
        <f>SUM('Schedule 3B_Income_Eastern:Schedule 3D_Income_The Cape'!BT48)</f>
        <v>0</v>
      </c>
      <c r="BU48" s="671">
        <f>SUM('Schedule 3B_Income_Eastern:Schedule 3D_Income_The Cape'!BU48)</f>
        <v>30720.669999999991</v>
      </c>
      <c r="BV48" s="671">
        <f>SUM('Schedule 3B_Income_Eastern:Schedule 3D_Income_The Cape'!BV48)</f>
        <v>0</v>
      </c>
      <c r="BW48" s="671">
        <f>SUM('Schedule 3B_Income_Eastern:Schedule 3D_Income_The Cape'!BW48)</f>
        <v>23084.732708730902</v>
      </c>
      <c r="BX48" s="671">
        <f>SUM('Schedule 3B_Income_Eastern:Schedule 3D_Income_The Cape'!BX48)</f>
        <v>0</v>
      </c>
      <c r="BY48" s="671">
        <f>SUM('Schedule 3B_Income_Eastern:Schedule 3D_Income_The Cape'!BY48)</f>
        <v>24222.557792163036</v>
      </c>
      <c r="BZ48" s="671">
        <f>SUM('Schedule 3B_Income_Eastern:Schedule 3D_Income_The Cape'!BZ48)</f>
        <v>0</v>
      </c>
      <c r="CA48" s="671">
        <f>SUM('Schedule 3B_Income_Eastern:Schedule 3D_Income_The Cape'!CA48)</f>
        <v>30341.291884753438</v>
      </c>
      <c r="CB48" s="674">
        <f t="shared" si="99"/>
        <v>108369.25238564736</v>
      </c>
      <c r="CC48" s="675">
        <f t="shared" si="100"/>
        <v>130542.80680191162</v>
      </c>
      <c r="CD48" s="343">
        <v>26</v>
      </c>
      <c r="CE48" s="462">
        <f t="shared" si="101"/>
        <v>161849.70999999985</v>
      </c>
      <c r="CF48" s="462">
        <f t="shared" si="102"/>
        <v>182949.25891230238</v>
      </c>
      <c r="CG48" s="462">
        <f t="shared" si="103"/>
        <v>174417.93074601251</v>
      </c>
      <c r="CH48" s="462">
        <f t="shared" si="104"/>
        <v>172549.6896732726</v>
      </c>
      <c r="CI48" s="464">
        <f t="shared" si="105"/>
        <v>691766.58933158743</v>
      </c>
      <c r="CJ48" s="462">
        <f t="shared" si="106"/>
        <v>512092.51999999984</v>
      </c>
      <c r="CK48" s="462">
        <f t="shared" si="107"/>
        <v>555204.23104170326</v>
      </c>
      <c r="CL48" s="462">
        <f t="shared" si="108"/>
        <v>582424.71754699107</v>
      </c>
      <c r="CM48" s="462">
        <f t="shared" si="109"/>
        <v>615984.24537777051</v>
      </c>
      <c r="CN48" s="464">
        <f t="shared" si="110"/>
        <v>2265705.7139664651</v>
      </c>
      <c r="CO48" s="462">
        <f t="shared" si="111"/>
        <v>673942.22999999975</v>
      </c>
      <c r="CP48" s="462">
        <f t="shared" si="112"/>
        <v>738153.48995400569</v>
      </c>
      <c r="CQ48" s="462">
        <f t="shared" si="113"/>
        <v>756842.64829300379</v>
      </c>
      <c r="CR48" s="462">
        <f t="shared" si="114"/>
        <v>788533.93505104317</v>
      </c>
      <c r="CS48" s="464">
        <f t="shared" si="115"/>
        <v>2957472.3032980524</v>
      </c>
    </row>
    <row r="49" spans="1:101" ht="15.75" customHeight="1" x14ac:dyDescent="0.25">
      <c r="A49" s="94" t="s">
        <v>229</v>
      </c>
      <c r="B49" s="343">
        <v>27</v>
      </c>
      <c r="C49" s="671">
        <f>SUM('Schedule 3B_Income_Eastern:Schedule 3D_Income_The Cape'!C49)</f>
        <v>22582.749999999978</v>
      </c>
      <c r="D49" s="671">
        <f>SUM('Schedule 3B_Income_Eastern:Schedule 3D_Income_The Cape'!D49)</f>
        <v>311457.18999999965</v>
      </c>
      <c r="E49" s="671">
        <f>SUM('Schedule 3B_Income_Eastern:Schedule 3D_Income_The Cape'!E49)</f>
        <v>171002.58305002106</v>
      </c>
      <c r="F49" s="671">
        <f>SUM('Schedule 3B_Income_Eastern:Schedule 3D_Income_The Cape'!F49)</f>
        <v>1403379.4518007506</v>
      </c>
      <c r="G49" s="671">
        <f>SUM('Schedule 3B_Income_Eastern:Schedule 3D_Income_The Cape'!G49)</f>
        <v>189302.81158432565</v>
      </c>
      <c r="H49" s="671">
        <f>SUM('Schedule 3B_Income_Eastern:Schedule 3D_Income_The Cape'!H49)</f>
        <v>1133383.8927169661</v>
      </c>
      <c r="I49" s="671">
        <f>SUM('Schedule 3B_Income_Eastern:Schedule 3D_Income_The Cape'!I49)</f>
        <v>229181.57398542424</v>
      </c>
      <c r="J49" s="671">
        <f>SUM('Schedule 3B_Income_Eastern:Schedule 3D_Income_The Cape'!J49)</f>
        <v>869957.1631623602</v>
      </c>
      <c r="K49" s="672">
        <f t="shared" si="89"/>
        <v>4330247.4162998479</v>
      </c>
      <c r="L49" s="673">
        <f>SUM('Schedule 3B_Income_Eastern:Schedule 3D_Income_The Cape'!L49)</f>
        <v>0</v>
      </c>
      <c r="M49" s="671">
        <f>SUM('Schedule 3B_Income_Eastern:Schedule 3D_Income_The Cape'!M49)</f>
        <v>167274.80000000005</v>
      </c>
      <c r="N49" s="671">
        <f>SUM('Schedule 3B_Income_Eastern:Schedule 3D_Income_The Cape'!N49)</f>
        <v>0</v>
      </c>
      <c r="O49" s="671">
        <f>SUM('Schedule 3B_Income_Eastern:Schedule 3D_Income_The Cape'!O49)</f>
        <v>883220.60206926707</v>
      </c>
      <c r="P49" s="671">
        <f>SUM('Schedule 3B_Income_Eastern:Schedule 3D_Income_The Cape'!P49)</f>
        <v>0</v>
      </c>
      <c r="Q49" s="671">
        <f>SUM('Schedule 3B_Income_Eastern:Schedule 3D_Income_The Cape'!Q49)</f>
        <v>551388.88204390567</v>
      </c>
      <c r="R49" s="671">
        <f>SUM('Schedule 3B_Income_Eastern:Schedule 3D_Income_The Cape'!R49)</f>
        <v>0</v>
      </c>
      <c r="S49" s="671">
        <f>SUM('Schedule 3B_Income_Eastern:Schedule 3D_Income_The Cape'!S49)</f>
        <v>613306.29537077399</v>
      </c>
      <c r="T49" s="674">
        <f t="shared" si="90"/>
        <v>2215190.5794839468</v>
      </c>
      <c r="U49" s="675">
        <f t="shared" si="91"/>
        <v>6545437.9957837947</v>
      </c>
      <c r="V49" s="343">
        <v>27</v>
      </c>
      <c r="W49" s="671">
        <f>SUM('Schedule 3B_Income_Eastern:Schedule 3D_Income_The Cape'!W49)</f>
        <v>7375.9999999999927</v>
      </c>
      <c r="X49" s="671">
        <f>SUM('Schedule 3B_Income_Eastern:Schedule 3D_Income_The Cape'!X49)</f>
        <v>4625.7999999999947</v>
      </c>
      <c r="Y49" s="671">
        <f>SUM('Schedule 3B_Income_Eastern:Schedule 3D_Income_The Cape'!Y49)</f>
        <v>0</v>
      </c>
      <c r="Z49" s="671">
        <f>SUM('Schedule 3B_Income_Eastern:Schedule 3D_Income_The Cape'!Z49)</f>
        <v>816.08510565308995</v>
      </c>
      <c r="AA49" s="671">
        <f>SUM('Schedule 3B_Income_Eastern:Schedule 3D_Income_The Cape'!AA49)</f>
        <v>0</v>
      </c>
      <c r="AB49" s="671">
        <f>SUM('Schedule 3B_Income_Eastern:Schedule 3D_Income_The Cape'!AB49)</f>
        <v>20.978513019994455</v>
      </c>
      <c r="AC49" s="671">
        <f>SUM('Schedule 3B_Income_Eastern:Schedule 3D_Income_The Cape'!AC49)</f>
        <v>0</v>
      </c>
      <c r="AD49" s="671">
        <f>SUM('Schedule 3B_Income_Eastern:Schedule 3D_Income_The Cape'!AD49)</f>
        <v>0</v>
      </c>
      <c r="AE49" s="672">
        <f t="shared" si="92"/>
        <v>12838.863618673073</v>
      </c>
      <c r="AF49" s="673">
        <f>SUM('Schedule 3B_Income_Eastern:Schedule 3D_Income_The Cape'!AF49)</f>
        <v>0</v>
      </c>
      <c r="AG49" s="671">
        <f>SUM('Schedule 3B_Income_Eastern:Schedule 3D_Income_The Cape'!AG49)</f>
        <v>65489.399999999994</v>
      </c>
      <c r="AH49" s="671">
        <f>SUM('Schedule 3B_Income_Eastern:Schedule 3D_Income_The Cape'!AH49)</f>
        <v>0</v>
      </c>
      <c r="AI49" s="671">
        <f>SUM('Schedule 3B_Income_Eastern:Schedule 3D_Income_The Cape'!AI49)</f>
        <v>17623.62904461861</v>
      </c>
      <c r="AJ49" s="671">
        <f>SUM('Schedule 3B_Income_Eastern:Schedule 3D_Income_The Cape'!AJ49)</f>
        <v>0</v>
      </c>
      <c r="AK49" s="671">
        <f>SUM('Schedule 3B_Income_Eastern:Schedule 3D_Income_The Cape'!AK49)</f>
        <v>84.066120519694778</v>
      </c>
      <c r="AL49" s="671">
        <f>SUM('Schedule 3B_Income_Eastern:Schedule 3D_Income_The Cape'!AL49)</f>
        <v>0</v>
      </c>
      <c r="AM49" s="671">
        <f>SUM('Schedule 3B_Income_Eastern:Schedule 3D_Income_The Cape'!AM49)</f>
        <v>0</v>
      </c>
      <c r="AN49" s="674">
        <f t="shared" si="93"/>
        <v>83197.095165138293</v>
      </c>
      <c r="AO49" s="675">
        <f t="shared" si="94"/>
        <v>96035.958783811366</v>
      </c>
      <c r="AP49" s="343">
        <v>27</v>
      </c>
      <c r="AQ49" s="671">
        <f>SUM('Schedule 3B_Income_Eastern:Schedule 3D_Income_The Cape'!AQ49)</f>
        <v>246105.70999999973</v>
      </c>
      <c r="AR49" s="671">
        <f>SUM('Schedule 3B_Income_Eastern:Schedule 3D_Income_The Cape'!AR49)</f>
        <v>810856.94999999925</v>
      </c>
      <c r="AS49" s="671">
        <f>SUM('Schedule 3B_Income_Eastern:Schedule 3D_Income_The Cape'!AS49)</f>
        <v>66869.093461261742</v>
      </c>
      <c r="AT49" s="671">
        <f>SUM('Schedule 3B_Income_Eastern:Schedule 3D_Income_The Cape'!AT49)</f>
        <v>178789.95515820017</v>
      </c>
      <c r="AU49" s="671">
        <f>SUM('Schedule 3B_Income_Eastern:Schedule 3D_Income_The Cape'!AU49)</f>
        <v>105881.42911799163</v>
      </c>
      <c r="AV49" s="671">
        <f>SUM('Schedule 3B_Income_Eastern:Schedule 3D_Income_The Cape'!AV49)</f>
        <v>135138.05336206584</v>
      </c>
      <c r="AW49" s="671">
        <f>SUM('Schedule 3B_Income_Eastern:Schedule 3D_Income_The Cape'!AW49)</f>
        <v>97884.898217811045</v>
      </c>
      <c r="AX49" s="671">
        <f>SUM('Schedule 3B_Income_Eastern:Schedule 3D_Income_The Cape'!AX49)</f>
        <v>90404.443472706713</v>
      </c>
      <c r="AY49" s="672">
        <f t="shared" si="95"/>
        <v>1731930.5327900362</v>
      </c>
      <c r="AZ49" s="673">
        <f>SUM('Schedule 3B_Income_Eastern:Schedule 3D_Income_The Cape'!AZ49)</f>
        <v>0</v>
      </c>
      <c r="BA49" s="671">
        <f>SUM('Schedule 3B_Income_Eastern:Schedule 3D_Income_The Cape'!BA49)</f>
        <v>1742147.5499999998</v>
      </c>
      <c r="BB49" s="671">
        <f>SUM('Schedule 3B_Income_Eastern:Schedule 3D_Income_The Cape'!BB49)</f>
        <v>0</v>
      </c>
      <c r="BC49" s="671">
        <f>SUM('Schedule 3B_Income_Eastern:Schedule 3D_Income_The Cape'!BC49)</f>
        <v>1047547.7699655569</v>
      </c>
      <c r="BD49" s="671">
        <f>SUM('Schedule 3B_Income_Eastern:Schedule 3D_Income_The Cape'!BD49)</f>
        <v>0</v>
      </c>
      <c r="BE49" s="671">
        <f>SUM('Schedule 3B_Income_Eastern:Schedule 3D_Income_The Cape'!BE49)</f>
        <v>896991.16318079212</v>
      </c>
      <c r="BF49" s="671">
        <f>SUM('Schedule 3B_Income_Eastern:Schedule 3D_Income_The Cape'!BF49)</f>
        <v>0</v>
      </c>
      <c r="BG49" s="671">
        <f>SUM('Schedule 3B_Income_Eastern:Schedule 3D_Income_The Cape'!BG49)</f>
        <v>921866.21882163454</v>
      </c>
      <c r="BH49" s="674">
        <f t="shared" si="96"/>
        <v>4608552.7019679835</v>
      </c>
      <c r="BI49" s="675">
        <f t="shared" si="97"/>
        <v>6340483.2347580194</v>
      </c>
      <c r="BJ49" s="343">
        <v>27</v>
      </c>
      <c r="BK49" s="671">
        <f>SUM('Schedule 3B_Income_Eastern:Schedule 3D_Income_The Cape'!BK49)</f>
        <v>432730.03999999946</v>
      </c>
      <c r="BL49" s="671">
        <f>SUM('Schedule 3B_Income_Eastern:Schedule 3D_Income_The Cape'!BL49)</f>
        <v>5742027.5599999949</v>
      </c>
      <c r="BM49" s="671">
        <f>SUM('Schedule 3B_Income_Eastern:Schedule 3D_Income_The Cape'!BM49)</f>
        <v>352349.8849018038</v>
      </c>
      <c r="BN49" s="671">
        <f>SUM('Schedule 3B_Income_Eastern:Schedule 3D_Income_The Cape'!BN49)</f>
        <v>4746979.4800222376</v>
      </c>
      <c r="BO49" s="671">
        <f>SUM('Schedule 3B_Income_Eastern:Schedule 3D_Income_The Cape'!BO49)</f>
        <v>379167.22647376498</v>
      </c>
      <c r="BP49" s="671">
        <f>SUM('Schedule 3B_Income_Eastern:Schedule 3D_Income_The Cape'!BP49)</f>
        <v>5382848.6978011644</v>
      </c>
      <c r="BQ49" s="671">
        <f>SUM('Schedule 3B_Income_Eastern:Schedule 3D_Income_The Cape'!BQ49)</f>
        <v>498031.07752690464</v>
      </c>
      <c r="BR49" s="671">
        <f>SUM('Schedule 3B_Income_Eastern:Schedule 3D_Income_The Cape'!BR49)</f>
        <v>5590926.3369010082</v>
      </c>
      <c r="BS49" s="672">
        <f t="shared" si="98"/>
        <v>23125060.30362688</v>
      </c>
      <c r="BT49" s="673">
        <f>SUM('Schedule 3B_Income_Eastern:Schedule 3D_Income_The Cape'!BT49)</f>
        <v>0</v>
      </c>
      <c r="BU49" s="671">
        <f>SUM('Schedule 3B_Income_Eastern:Schedule 3D_Income_The Cape'!BU49)</f>
        <v>330909.54999999888</v>
      </c>
      <c r="BV49" s="671">
        <f>SUM('Schedule 3B_Income_Eastern:Schedule 3D_Income_The Cape'!BV49)</f>
        <v>0</v>
      </c>
      <c r="BW49" s="671">
        <f>SUM('Schedule 3B_Income_Eastern:Schedule 3D_Income_The Cape'!BW49)</f>
        <v>640334.14402226359</v>
      </c>
      <c r="BX49" s="671">
        <f>SUM('Schedule 3B_Income_Eastern:Schedule 3D_Income_The Cape'!BX49)</f>
        <v>0</v>
      </c>
      <c r="BY49" s="671">
        <f>SUM('Schedule 3B_Income_Eastern:Schedule 3D_Income_The Cape'!BY49)</f>
        <v>394829.89071093372</v>
      </c>
      <c r="BZ49" s="671">
        <f>SUM('Schedule 3B_Income_Eastern:Schedule 3D_Income_The Cape'!BZ49)</f>
        <v>0</v>
      </c>
      <c r="CA49" s="671">
        <f>SUM('Schedule 3B_Income_Eastern:Schedule 3D_Income_The Cape'!CA49)</f>
        <v>359501.13489726488</v>
      </c>
      <c r="CB49" s="674">
        <f t="shared" si="99"/>
        <v>1725574.719630461</v>
      </c>
      <c r="CC49" s="675">
        <f t="shared" si="100"/>
        <v>24850635.023257341</v>
      </c>
      <c r="CD49" s="343">
        <v>27</v>
      </c>
      <c r="CE49" s="462">
        <f t="shared" si="101"/>
        <v>7577761.9999999925</v>
      </c>
      <c r="CF49" s="462">
        <f t="shared" si="102"/>
        <v>6920186.5334999282</v>
      </c>
      <c r="CG49" s="462">
        <f t="shared" si="103"/>
        <v>7325743.0895692986</v>
      </c>
      <c r="CH49" s="462">
        <f t="shared" si="104"/>
        <v>7376385.4932662146</v>
      </c>
      <c r="CI49" s="464">
        <f t="shared" si="105"/>
        <v>29200077.116335437</v>
      </c>
      <c r="CJ49" s="462">
        <f t="shared" si="106"/>
        <v>2305821.2999999989</v>
      </c>
      <c r="CK49" s="462">
        <f t="shared" si="107"/>
        <v>2588726.145101706</v>
      </c>
      <c r="CL49" s="462">
        <f t="shared" si="108"/>
        <v>1843294.0020561512</v>
      </c>
      <c r="CM49" s="462">
        <f t="shared" si="109"/>
        <v>1894673.6490896733</v>
      </c>
      <c r="CN49" s="464">
        <f t="shared" si="110"/>
        <v>8632515.0962475296</v>
      </c>
      <c r="CO49" s="462">
        <f t="shared" si="111"/>
        <v>9883583.2999999914</v>
      </c>
      <c r="CP49" s="462">
        <f t="shared" si="112"/>
        <v>9508912.6786016338</v>
      </c>
      <c r="CQ49" s="462">
        <f t="shared" si="113"/>
        <v>9169037.0916254502</v>
      </c>
      <c r="CR49" s="462">
        <f t="shared" si="114"/>
        <v>9271059.1423558891</v>
      </c>
      <c r="CS49" s="464">
        <f t="shared" si="115"/>
        <v>37832592.212582968</v>
      </c>
    </row>
    <row r="50" spans="1:101" ht="15.75" customHeight="1" x14ac:dyDescent="0.25">
      <c r="A50" s="94" t="s">
        <v>1457</v>
      </c>
      <c r="B50" s="343">
        <v>28</v>
      </c>
      <c r="C50" s="671">
        <f>SUM('Schedule 3B_Income_Eastern:Schedule 3D_Income_The Cape'!C50)</f>
        <v>46539.779999999948</v>
      </c>
      <c r="D50" s="671">
        <f>SUM('Schedule 3B_Income_Eastern:Schedule 3D_Income_The Cape'!D50)</f>
        <v>183678.00999999981</v>
      </c>
      <c r="E50" s="671">
        <f>SUM('Schedule 3B_Income_Eastern:Schedule 3D_Income_The Cape'!E50)</f>
        <v>297011.15388746775</v>
      </c>
      <c r="F50" s="671">
        <f>SUM('Schedule 3B_Income_Eastern:Schedule 3D_Income_The Cape'!F50)</f>
        <v>1508763.4317972362</v>
      </c>
      <c r="G50" s="671">
        <f>SUM('Schedule 3B_Income_Eastern:Schedule 3D_Income_The Cape'!G50)</f>
        <v>255393.5991113965</v>
      </c>
      <c r="H50" s="671">
        <f>SUM('Schedule 3B_Income_Eastern:Schedule 3D_Income_The Cape'!H50)</f>
        <v>1436178.1966635941</v>
      </c>
      <c r="I50" s="671">
        <f>SUM('Schedule 3B_Income_Eastern:Schedule 3D_Income_The Cape'!I50)</f>
        <v>193598.2798415361</v>
      </c>
      <c r="J50" s="671">
        <f>SUM('Schedule 3B_Income_Eastern:Schedule 3D_Income_The Cape'!J50)</f>
        <v>1035095.5119548182</v>
      </c>
      <c r="K50" s="672">
        <f t="shared" si="89"/>
        <v>4956257.963256049</v>
      </c>
      <c r="L50" s="673">
        <f>SUM('Schedule 3B_Income_Eastern:Schedule 3D_Income_The Cape'!L50)</f>
        <v>0</v>
      </c>
      <c r="M50" s="671">
        <f>SUM('Schedule 3B_Income_Eastern:Schedule 3D_Income_The Cape'!M50)</f>
        <v>0</v>
      </c>
      <c r="N50" s="671">
        <f>SUM('Schedule 3B_Income_Eastern:Schedule 3D_Income_The Cape'!N50)</f>
        <v>0</v>
      </c>
      <c r="O50" s="671">
        <f>SUM('Schedule 3B_Income_Eastern:Schedule 3D_Income_The Cape'!O50)</f>
        <v>0</v>
      </c>
      <c r="P50" s="671">
        <f>SUM('Schedule 3B_Income_Eastern:Schedule 3D_Income_The Cape'!P50)</f>
        <v>0</v>
      </c>
      <c r="Q50" s="671">
        <f>SUM('Schedule 3B_Income_Eastern:Schedule 3D_Income_The Cape'!Q50)</f>
        <v>0</v>
      </c>
      <c r="R50" s="671">
        <f>SUM('Schedule 3B_Income_Eastern:Schedule 3D_Income_The Cape'!R50)</f>
        <v>0</v>
      </c>
      <c r="S50" s="671">
        <f>SUM('Schedule 3B_Income_Eastern:Schedule 3D_Income_The Cape'!S50)</f>
        <v>0</v>
      </c>
      <c r="T50" s="674">
        <f t="shared" si="90"/>
        <v>0</v>
      </c>
      <c r="U50" s="675">
        <f t="shared" si="91"/>
        <v>4956257.963256049</v>
      </c>
      <c r="V50" s="343">
        <v>28</v>
      </c>
      <c r="W50" s="671">
        <f>SUM('Schedule 3B_Income_Eastern:Schedule 3D_Income_The Cape'!W50)</f>
        <v>0</v>
      </c>
      <c r="X50" s="671">
        <f>SUM('Schedule 3B_Income_Eastern:Schedule 3D_Income_The Cape'!X50)</f>
        <v>16862.189999999984</v>
      </c>
      <c r="Y50" s="671">
        <f>SUM('Schedule 3B_Income_Eastern:Schedule 3D_Income_The Cape'!Y50)</f>
        <v>0</v>
      </c>
      <c r="Z50" s="671">
        <f>SUM('Schedule 3B_Income_Eastern:Schedule 3D_Income_The Cape'!Z50)</f>
        <v>7084.9188526538073</v>
      </c>
      <c r="AA50" s="671">
        <f>SUM('Schedule 3B_Income_Eastern:Schedule 3D_Income_The Cape'!AA50)</f>
        <v>0</v>
      </c>
      <c r="AB50" s="671">
        <f>SUM('Schedule 3B_Income_Eastern:Schedule 3D_Income_The Cape'!AB50)</f>
        <v>9037.7136403841778</v>
      </c>
      <c r="AC50" s="671">
        <f>SUM('Schedule 3B_Income_Eastern:Schedule 3D_Income_The Cape'!AC50)</f>
        <v>0</v>
      </c>
      <c r="AD50" s="671">
        <f>SUM('Schedule 3B_Income_Eastern:Schedule 3D_Income_The Cape'!AD50)</f>
        <v>5834.0486820439992</v>
      </c>
      <c r="AE50" s="672">
        <f t="shared" si="92"/>
        <v>38818.871175081971</v>
      </c>
      <c r="AF50" s="673">
        <f>SUM('Schedule 3B_Income_Eastern:Schedule 3D_Income_The Cape'!AF50)</f>
        <v>0</v>
      </c>
      <c r="AG50" s="671">
        <f>SUM('Schedule 3B_Income_Eastern:Schedule 3D_Income_The Cape'!AG50)</f>
        <v>0</v>
      </c>
      <c r="AH50" s="671">
        <f>SUM('Schedule 3B_Income_Eastern:Schedule 3D_Income_The Cape'!AH50)</f>
        <v>0</v>
      </c>
      <c r="AI50" s="671">
        <f>SUM('Schedule 3B_Income_Eastern:Schedule 3D_Income_The Cape'!AI50)</f>
        <v>0</v>
      </c>
      <c r="AJ50" s="671">
        <f>SUM('Schedule 3B_Income_Eastern:Schedule 3D_Income_The Cape'!AJ50)</f>
        <v>0</v>
      </c>
      <c r="AK50" s="671">
        <f>SUM('Schedule 3B_Income_Eastern:Schedule 3D_Income_The Cape'!AK50)</f>
        <v>0</v>
      </c>
      <c r="AL50" s="671">
        <f>SUM('Schedule 3B_Income_Eastern:Schedule 3D_Income_The Cape'!AL50)</f>
        <v>0</v>
      </c>
      <c r="AM50" s="671">
        <f>SUM('Schedule 3B_Income_Eastern:Schedule 3D_Income_The Cape'!AM50)</f>
        <v>0</v>
      </c>
      <c r="AN50" s="674">
        <f t="shared" si="93"/>
        <v>0</v>
      </c>
      <c r="AO50" s="675">
        <f t="shared" si="94"/>
        <v>38818.871175081971</v>
      </c>
      <c r="AP50" s="343">
        <v>28</v>
      </c>
      <c r="AQ50" s="671">
        <f>SUM('Schedule 3B_Income_Eastern:Schedule 3D_Income_The Cape'!AQ50)</f>
        <v>2430696.6099999961</v>
      </c>
      <c r="AR50" s="671">
        <f>SUM('Schedule 3B_Income_Eastern:Schedule 3D_Income_The Cape'!AR50)</f>
        <v>15488643.439999988</v>
      </c>
      <c r="AS50" s="671">
        <f>SUM('Schedule 3B_Income_Eastern:Schedule 3D_Income_The Cape'!AS50)</f>
        <v>2276708.2871314716</v>
      </c>
      <c r="AT50" s="671">
        <f>SUM('Schedule 3B_Income_Eastern:Schedule 3D_Income_The Cape'!AT50)</f>
        <v>14729528.53281497</v>
      </c>
      <c r="AU50" s="671">
        <f>SUM('Schedule 3B_Income_Eastern:Schedule 3D_Income_The Cape'!AU50)</f>
        <v>2358169.0738175511</v>
      </c>
      <c r="AV50" s="671">
        <f>SUM('Schedule 3B_Income_Eastern:Schedule 3D_Income_The Cape'!AV50)</f>
        <v>15633602.656213844</v>
      </c>
      <c r="AW50" s="671">
        <f>SUM('Schedule 3B_Income_Eastern:Schedule 3D_Income_The Cape'!AW50)</f>
        <v>2591233.9315479202</v>
      </c>
      <c r="AX50" s="671">
        <f>SUM('Schedule 3B_Income_Eastern:Schedule 3D_Income_The Cape'!AX50)</f>
        <v>16159806.067057252</v>
      </c>
      <c r="AY50" s="672">
        <f t="shared" si="95"/>
        <v>71668388.598582983</v>
      </c>
      <c r="AZ50" s="673">
        <f>SUM('Schedule 3B_Income_Eastern:Schedule 3D_Income_The Cape'!AZ50)</f>
        <v>0</v>
      </c>
      <c r="BA50" s="671">
        <f>SUM('Schedule 3B_Income_Eastern:Schedule 3D_Income_The Cape'!BA50)</f>
        <v>0</v>
      </c>
      <c r="BB50" s="671">
        <f>SUM('Schedule 3B_Income_Eastern:Schedule 3D_Income_The Cape'!BB50)</f>
        <v>0</v>
      </c>
      <c r="BC50" s="671">
        <f>SUM('Schedule 3B_Income_Eastern:Schedule 3D_Income_The Cape'!BC50)</f>
        <v>253.11265560152464</v>
      </c>
      <c r="BD50" s="671">
        <f>SUM('Schedule 3B_Income_Eastern:Schedule 3D_Income_The Cape'!BD50)</f>
        <v>0</v>
      </c>
      <c r="BE50" s="671">
        <f>SUM('Schedule 3B_Income_Eastern:Schedule 3D_Income_The Cape'!BE50)</f>
        <v>0</v>
      </c>
      <c r="BF50" s="671">
        <f>SUM('Schedule 3B_Income_Eastern:Schedule 3D_Income_The Cape'!BF50)</f>
        <v>0</v>
      </c>
      <c r="BG50" s="671">
        <f>SUM('Schedule 3B_Income_Eastern:Schedule 3D_Income_The Cape'!BG50)</f>
        <v>0</v>
      </c>
      <c r="BH50" s="674">
        <f t="shared" si="96"/>
        <v>253.11265560152464</v>
      </c>
      <c r="BI50" s="675">
        <f t="shared" si="97"/>
        <v>71668641.711238578</v>
      </c>
      <c r="BJ50" s="343">
        <v>28</v>
      </c>
      <c r="BK50" s="671">
        <f>SUM('Schedule 3B_Income_Eastern:Schedule 3D_Income_The Cape'!BK50)</f>
        <v>37.599999999999966</v>
      </c>
      <c r="BL50" s="671">
        <f>SUM('Schedule 3B_Income_Eastern:Schedule 3D_Income_The Cape'!BL50)</f>
        <v>71700.199999999939</v>
      </c>
      <c r="BM50" s="671">
        <f>SUM('Schedule 3B_Income_Eastern:Schedule 3D_Income_The Cape'!BM50)</f>
        <v>12499.85355056425</v>
      </c>
      <c r="BN50" s="671">
        <f>SUM('Schedule 3B_Income_Eastern:Schedule 3D_Income_The Cape'!BN50)</f>
        <v>36132.858124754901</v>
      </c>
      <c r="BO50" s="671">
        <f>SUM('Schedule 3B_Income_Eastern:Schedule 3D_Income_The Cape'!BO50)</f>
        <v>2108.4657286348606</v>
      </c>
      <c r="BP50" s="671">
        <f>SUM('Schedule 3B_Income_Eastern:Schedule 3D_Income_The Cape'!BP50)</f>
        <v>46111.813033391285</v>
      </c>
      <c r="BQ50" s="671">
        <f>SUM('Schedule 3B_Income_Eastern:Schedule 3D_Income_The Cape'!BQ50)</f>
        <v>3929.5866921775009</v>
      </c>
      <c r="BR50" s="671">
        <f>SUM('Schedule 3B_Income_Eastern:Schedule 3D_Income_The Cape'!BR50)</f>
        <v>52413.847277725959</v>
      </c>
      <c r="BS50" s="672">
        <f t="shared" si="98"/>
        <v>224934.22440724869</v>
      </c>
      <c r="BT50" s="673">
        <f>SUM('Schedule 3B_Income_Eastern:Schedule 3D_Income_The Cape'!BT50)</f>
        <v>0</v>
      </c>
      <c r="BU50" s="671">
        <f>SUM('Schedule 3B_Income_Eastern:Schedule 3D_Income_The Cape'!BU50)</f>
        <v>0</v>
      </c>
      <c r="BV50" s="671">
        <f>SUM('Schedule 3B_Income_Eastern:Schedule 3D_Income_The Cape'!BV50)</f>
        <v>0</v>
      </c>
      <c r="BW50" s="671">
        <f>SUM('Schedule 3B_Income_Eastern:Schedule 3D_Income_The Cape'!BW50)</f>
        <v>0</v>
      </c>
      <c r="BX50" s="671">
        <f>SUM('Schedule 3B_Income_Eastern:Schedule 3D_Income_The Cape'!BX50)</f>
        <v>0</v>
      </c>
      <c r="BY50" s="671">
        <f>SUM('Schedule 3B_Income_Eastern:Schedule 3D_Income_The Cape'!BY50)</f>
        <v>0</v>
      </c>
      <c r="BZ50" s="671">
        <f>SUM('Schedule 3B_Income_Eastern:Schedule 3D_Income_The Cape'!BZ50)</f>
        <v>0</v>
      </c>
      <c r="CA50" s="671">
        <f>SUM('Schedule 3B_Income_Eastern:Schedule 3D_Income_The Cape'!CA50)</f>
        <v>0</v>
      </c>
      <c r="CB50" s="674">
        <f t="shared" si="99"/>
        <v>0</v>
      </c>
      <c r="CC50" s="675">
        <f t="shared" si="100"/>
        <v>224934.22440724869</v>
      </c>
      <c r="CD50" s="343">
        <v>28</v>
      </c>
      <c r="CE50" s="462">
        <f t="shared" si="101"/>
        <v>18238157.829999983</v>
      </c>
      <c r="CF50" s="462">
        <f t="shared" si="102"/>
        <v>18867729.036159121</v>
      </c>
      <c r="CG50" s="462">
        <f t="shared" si="103"/>
        <v>19740601.518208794</v>
      </c>
      <c r="CH50" s="462">
        <f t="shared" si="104"/>
        <v>20041911.273053475</v>
      </c>
      <c r="CI50" s="464">
        <f t="shared" si="105"/>
        <v>76888399.657421365</v>
      </c>
      <c r="CJ50" s="462">
        <f t="shared" si="106"/>
        <v>0</v>
      </c>
      <c r="CK50" s="462">
        <f t="shared" si="107"/>
        <v>253.11265560152464</v>
      </c>
      <c r="CL50" s="462">
        <f t="shared" si="108"/>
        <v>0</v>
      </c>
      <c r="CM50" s="462">
        <f t="shared" si="109"/>
        <v>0</v>
      </c>
      <c r="CN50" s="464">
        <f t="shared" si="110"/>
        <v>253.11265560152464</v>
      </c>
      <c r="CO50" s="462">
        <f t="shared" si="111"/>
        <v>18238157.829999983</v>
      </c>
      <c r="CP50" s="462">
        <f t="shared" si="112"/>
        <v>18867982.148814723</v>
      </c>
      <c r="CQ50" s="462">
        <f t="shared" si="113"/>
        <v>19740601.518208794</v>
      </c>
      <c r="CR50" s="462">
        <f t="shared" si="114"/>
        <v>20041911.273053475</v>
      </c>
      <c r="CS50" s="464">
        <f t="shared" si="115"/>
        <v>76888652.77007696</v>
      </c>
    </row>
    <row r="51" spans="1:101" ht="15.75" customHeight="1" x14ac:dyDescent="0.25">
      <c r="A51" s="94" t="s">
        <v>463</v>
      </c>
      <c r="B51" s="343">
        <v>29</v>
      </c>
      <c r="C51" s="671">
        <f>SUM('Schedule 3B_Income_Eastern:Schedule 3D_Income_The Cape'!C51)</f>
        <v>11380.309999999987</v>
      </c>
      <c r="D51" s="671">
        <f>SUM('Schedule 3B_Income_Eastern:Schedule 3D_Income_The Cape'!D51)</f>
        <v>21464.399999999976</v>
      </c>
      <c r="E51" s="671">
        <f>SUM('Schedule 3B_Income_Eastern:Schedule 3D_Income_The Cape'!E51)</f>
        <v>23604.751627824597</v>
      </c>
      <c r="F51" s="671">
        <f>SUM('Schedule 3B_Income_Eastern:Schedule 3D_Income_The Cape'!F51)</f>
        <v>65650.496379539793</v>
      </c>
      <c r="G51" s="671">
        <f>SUM('Schedule 3B_Income_Eastern:Schedule 3D_Income_The Cape'!G51)</f>
        <v>25685.340320928706</v>
      </c>
      <c r="H51" s="671">
        <f>SUM('Schedule 3B_Income_Eastern:Schedule 3D_Income_The Cape'!H51)</f>
        <v>50127.991636711216</v>
      </c>
      <c r="I51" s="671">
        <f>SUM('Schedule 3B_Income_Eastern:Schedule 3D_Income_The Cape'!I51)</f>
        <v>20660.581274342461</v>
      </c>
      <c r="J51" s="671">
        <f>SUM('Schedule 3B_Income_Eastern:Schedule 3D_Income_The Cape'!J51)</f>
        <v>52840.354423955068</v>
      </c>
      <c r="K51" s="672">
        <f t="shared" ref="K51:K54" si="137">SUM(C51:J51)</f>
        <v>271414.22566330183</v>
      </c>
      <c r="L51" s="673">
        <f>SUM('Schedule 3B_Income_Eastern:Schedule 3D_Income_The Cape'!L51)</f>
        <v>0</v>
      </c>
      <c r="M51" s="671">
        <f>SUM('Schedule 3B_Income_Eastern:Schedule 3D_Income_The Cape'!M51)</f>
        <v>59361.180000000015</v>
      </c>
      <c r="N51" s="671">
        <f>SUM('Schedule 3B_Income_Eastern:Schedule 3D_Income_The Cape'!N51)</f>
        <v>0</v>
      </c>
      <c r="O51" s="671">
        <f>SUM('Schedule 3B_Income_Eastern:Schedule 3D_Income_The Cape'!O51)</f>
        <v>147222.3117304816</v>
      </c>
      <c r="P51" s="671">
        <f>SUM('Schedule 3B_Income_Eastern:Schedule 3D_Income_The Cape'!P51)</f>
        <v>0</v>
      </c>
      <c r="Q51" s="671">
        <f>SUM('Schedule 3B_Income_Eastern:Schedule 3D_Income_The Cape'!Q51)</f>
        <v>119870.44396342977</v>
      </c>
      <c r="R51" s="671">
        <f>SUM('Schedule 3B_Income_Eastern:Schedule 3D_Income_The Cape'!R51)</f>
        <v>0</v>
      </c>
      <c r="S51" s="671">
        <f>SUM('Schedule 3B_Income_Eastern:Schedule 3D_Income_The Cape'!S51)</f>
        <v>109455.56735837988</v>
      </c>
      <c r="T51" s="674">
        <f t="shared" ref="T51:T54" si="138">SUM(L51:S51)</f>
        <v>435909.50305229129</v>
      </c>
      <c r="U51" s="675">
        <f t="shared" ref="U51:U54" si="139">SUM(T51,K51)</f>
        <v>707323.72871559311</v>
      </c>
      <c r="V51" s="343">
        <v>29</v>
      </c>
      <c r="W51" s="671">
        <f>SUM('Schedule 3B_Income_Eastern:Schedule 3D_Income_The Cape'!W51)</f>
        <v>3006.6999999999957</v>
      </c>
      <c r="X51" s="671">
        <f>SUM('Schedule 3B_Income_Eastern:Schedule 3D_Income_The Cape'!X51)</f>
        <v>216.9099999999998</v>
      </c>
      <c r="Y51" s="671">
        <f>SUM('Schedule 3B_Income_Eastern:Schedule 3D_Income_The Cape'!Y51)</f>
        <v>199.97085401389134</v>
      </c>
      <c r="Z51" s="671">
        <f>SUM('Schedule 3B_Income_Eastern:Schedule 3D_Income_The Cape'!Z51)</f>
        <v>269.2480786077511</v>
      </c>
      <c r="AA51" s="671">
        <f>SUM('Schedule 3B_Income_Eastern:Schedule 3D_Income_The Cape'!AA51)</f>
        <v>406.87300287752493</v>
      </c>
      <c r="AB51" s="671">
        <f>SUM('Schedule 3B_Income_Eastern:Schedule 3D_Income_The Cape'!AB51)</f>
        <v>57.768516282743683</v>
      </c>
      <c r="AC51" s="671">
        <f>SUM('Schedule 3B_Income_Eastern:Schedule 3D_Income_The Cape'!AC51)</f>
        <v>399.24969989657063</v>
      </c>
      <c r="AD51" s="671">
        <f>SUM('Schedule 3B_Income_Eastern:Schedule 3D_Income_The Cape'!AD51)</f>
        <v>487.88918601528849</v>
      </c>
      <c r="AE51" s="672">
        <f t="shared" ref="AE51:AE54" si="140">SUM(W51:AD51)</f>
        <v>5044.6093376937661</v>
      </c>
      <c r="AF51" s="673">
        <f>SUM('Schedule 3B_Income_Eastern:Schedule 3D_Income_The Cape'!AF51)</f>
        <v>0</v>
      </c>
      <c r="AG51" s="671">
        <f>SUM('Schedule 3B_Income_Eastern:Schedule 3D_Income_The Cape'!AG51)</f>
        <v>10317.15</v>
      </c>
      <c r="AH51" s="671">
        <f>SUM('Schedule 3B_Income_Eastern:Schedule 3D_Income_The Cape'!AH51)</f>
        <v>0</v>
      </c>
      <c r="AI51" s="671">
        <f>SUM('Schedule 3B_Income_Eastern:Schedule 3D_Income_The Cape'!AI51)</f>
        <v>10475.007616141964</v>
      </c>
      <c r="AJ51" s="671">
        <f>SUM('Schedule 3B_Income_Eastern:Schedule 3D_Income_The Cape'!AJ51)</f>
        <v>0</v>
      </c>
      <c r="AK51" s="671">
        <f>SUM('Schedule 3B_Income_Eastern:Schedule 3D_Income_The Cape'!AK51)</f>
        <v>3445.9185270942585</v>
      </c>
      <c r="AL51" s="671">
        <f>SUM('Schedule 3B_Income_Eastern:Schedule 3D_Income_The Cape'!AL51)</f>
        <v>0</v>
      </c>
      <c r="AM51" s="671">
        <f>SUM('Schedule 3B_Income_Eastern:Schedule 3D_Income_The Cape'!AM51)</f>
        <v>11837.951233290367</v>
      </c>
      <c r="AN51" s="674">
        <f t="shared" ref="AN51:AN54" si="141">SUM(AF51:AM51)</f>
        <v>36076.027376526588</v>
      </c>
      <c r="AO51" s="675">
        <f t="shared" ref="AO51:AO54" si="142">SUM(AN51,AE51)</f>
        <v>41120.636714220353</v>
      </c>
      <c r="AP51" s="343">
        <v>29</v>
      </c>
      <c r="AQ51" s="671">
        <f>SUM('Schedule 3B_Income_Eastern:Schedule 3D_Income_The Cape'!AQ51)</f>
        <v>133953.13999999987</v>
      </c>
      <c r="AR51" s="671">
        <f>SUM('Schedule 3B_Income_Eastern:Schedule 3D_Income_The Cape'!AR51)</f>
        <v>252690.82999999973</v>
      </c>
      <c r="AS51" s="671">
        <f>SUM('Schedule 3B_Income_Eastern:Schedule 3D_Income_The Cape'!AS51)</f>
        <v>101285.87262426406</v>
      </c>
      <c r="AT51" s="671">
        <f>SUM('Schedule 3B_Income_Eastern:Schedule 3D_Income_The Cape'!AT51)</f>
        <v>254068.95564886142</v>
      </c>
      <c r="AU51" s="671">
        <f>SUM('Schedule 3B_Income_Eastern:Schedule 3D_Income_The Cape'!AU51)</f>
        <v>82902.837684363927</v>
      </c>
      <c r="AV51" s="671">
        <f>SUM('Schedule 3B_Income_Eastern:Schedule 3D_Income_The Cape'!AV51)</f>
        <v>262582.95054376358</v>
      </c>
      <c r="AW51" s="671">
        <f>SUM('Schedule 3B_Income_Eastern:Schedule 3D_Income_The Cape'!AW51)</f>
        <v>124076.19733745574</v>
      </c>
      <c r="AX51" s="671">
        <f>SUM('Schedule 3B_Income_Eastern:Schedule 3D_Income_The Cape'!AX51)</f>
        <v>308936.44972457807</v>
      </c>
      <c r="AY51" s="672">
        <f t="shared" ref="AY51:AY54" si="143">SUM(AQ51:AX51)</f>
        <v>1520497.2335632865</v>
      </c>
      <c r="AZ51" s="673">
        <f>SUM('Schedule 3B_Income_Eastern:Schedule 3D_Income_The Cape'!AZ51)</f>
        <v>0</v>
      </c>
      <c r="BA51" s="671">
        <f>SUM('Schedule 3B_Income_Eastern:Schedule 3D_Income_The Cape'!BA51)</f>
        <v>713257.9500000017</v>
      </c>
      <c r="BB51" s="671">
        <f>SUM('Schedule 3B_Income_Eastern:Schedule 3D_Income_The Cape'!BB51)</f>
        <v>0</v>
      </c>
      <c r="BC51" s="671">
        <f>SUM('Schedule 3B_Income_Eastern:Schedule 3D_Income_The Cape'!BC51)</f>
        <v>595171.83603481925</v>
      </c>
      <c r="BD51" s="671">
        <f>SUM('Schedule 3B_Income_Eastern:Schedule 3D_Income_The Cape'!BD51)</f>
        <v>0</v>
      </c>
      <c r="BE51" s="671">
        <f>SUM('Schedule 3B_Income_Eastern:Schedule 3D_Income_The Cape'!BE51)</f>
        <v>696928.34065542743</v>
      </c>
      <c r="BF51" s="671">
        <f>SUM('Schedule 3B_Income_Eastern:Schedule 3D_Income_The Cape'!BF51)</f>
        <v>0</v>
      </c>
      <c r="BG51" s="671">
        <f>SUM('Schedule 3B_Income_Eastern:Schedule 3D_Income_The Cape'!BG51)</f>
        <v>630779.96480430593</v>
      </c>
      <c r="BH51" s="674">
        <f t="shared" ref="BH51:BH54" si="144">SUM(AZ51:BG51)</f>
        <v>2636138.0914945547</v>
      </c>
      <c r="BI51" s="675">
        <f t="shared" ref="BI51:BI54" si="145">SUM(BH51,AY51)</f>
        <v>4156635.3250578409</v>
      </c>
      <c r="BJ51" s="343">
        <v>29</v>
      </c>
      <c r="BK51" s="671">
        <f>SUM('Schedule 3B_Income_Eastern:Schedule 3D_Income_The Cape'!BK51)</f>
        <v>2370.2299999999977</v>
      </c>
      <c r="BL51" s="671">
        <f>SUM('Schedule 3B_Income_Eastern:Schedule 3D_Income_The Cape'!BL51)</f>
        <v>10677.319999999985</v>
      </c>
      <c r="BM51" s="671">
        <f>SUM('Schedule 3B_Income_Eastern:Schedule 3D_Income_The Cape'!BM51)</f>
        <v>4833.2640382304244</v>
      </c>
      <c r="BN51" s="671">
        <f>SUM('Schedule 3B_Income_Eastern:Schedule 3D_Income_The Cape'!BN51)</f>
        <v>3560.1612723686439</v>
      </c>
      <c r="BO51" s="671">
        <f>SUM('Schedule 3B_Income_Eastern:Schedule 3D_Income_The Cape'!BO51)</f>
        <v>2664.7417932108665</v>
      </c>
      <c r="BP51" s="671">
        <f>SUM('Schedule 3B_Income_Eastern:Schedule 3D_Income_The Cape'!BP51)</f>
        <v>7597.99684422059</v>
      </c>
      <c r="BQ51" s="671">
        <f>SUM('Schedule 3B_Income_Eastern:Schedule 3D_Income_The Cape'!BQ51)</f>
        <v>3714.1412624415793</v>
      </c>
      <c r="BR51" s="671">
        <f>SUM('Schedule 3B_Income_Eastern:Schedule 3D_Income_The Cape'!BR51)</f>
        <v>1657.7574673058164</v>
      </c>
      <c r="BS51" s="672">
        <f t="shared" ref="BS51:BS54" si="146">SUM(BK51:BR51)</f>
        <v>37075.612677777906</v>
      </c>
      <c r="BT51" s="673">
        <f>SUM('Schedule 3B_Income_Eastern:Schedule 3D_Income_The Cape'!BT51)</f>
        <v>0</v>
      </c>
      <c r="BU51" s="671">
        <f>SUM('Schedule 3B_Income_Eastern:Schedule 3D_Income_The Cape'!BU51)</f>
        <v>65467.35000000002</v>
      </c>
      <c r="BV51" s="671">
        <f>SUM('Schedule 3B_Income_Eastern:Schedule 3D_Income_The Cape'!BV51)</f>
        <v>0</v>
      </c>
      <c r="BW51" s="671">
        <f>SUM('Schedule 3B_Income_Eastern:Schedule 3D_Income_The Cape'!BW51)</f>
        <v>47885.670483518603</v>
      </c>
      <c r="BX51" s="671">
        <f>SUM('Schedule 3B_Income_Eastern:Schedule 3D_Income_The Cape'!BX51)</f>
        <v>0</v>
      </c>
      <c r="BY51" s="671">
        <f>SUM('Schedule 3B_Income_Eastern:Schedule 3D_Income_The Cape'!BY51)</f>
        <v>50448.057859693523</v>
      </c>
      <c r="BZ51" s="671">
        <f>SUM('Schedule 3B_Income_Eastern:Schedule 3D_Income_The Cape'!BZ51)</f>
        <v>0</v>
      </c>
      <c r="CA51" s="671">
        <f>SUM('Schedule 3B_Income_Eastern:Schedule 3D_Income_The Cape'!CA51)</f>
        <v>83206.919019056615</v>
      </c>
      <c r="CB51" s="674">
        <f t="shared" ref="CB51:CB54" si="147">SUM(BT51:CA51)</f>
        <v>247007.99736226874</v>
      </c>
      <c r="CC51" s="675">
        <f t="shared" ref="CC51:CC54" si="148">SUM(CB51,BS51)</f>
        <v>284083.61004004662</v>
      </c>
      <c r="CD51" s="343">
        <v>29</v>
      </c>
      <c r="CE51" s="462">
        <f t="shared" si="101"/>
        <v>435759.83999999956</v>
      </c>
      <c r="CF51" s="462">
        <f t="shared" si="102"/>
        <v>453472.72052371054</v>
      </c>
      <c r="CG51" s="462">
        <f t="shared" si="103"/>
        <v>432026.50034235918</v>
      </c>
      <c r="CH51" s="462">
        <f t="shared" si="104"/>
        <v>512772.62037599058</v>
      </c>
      <c r="CI51" s="464">
        <f t="shared" si="105"/>
        <v>1834031.6812420599</v>
      </c>
      <c r="CJ51" s="462">
        <f t="shared" si="106"/>
        <v>848403.63000000163</v>
      </c>
      <c r="CK51" s="462">
        <f t="shared" si="107"/>
        <v>800754.82586496137</v>
      </c>
      <c r="CL51" s="462">
        <f t="shared" si="108"/>
        <v>870692.76100564504</v>
      </c>
      <c r="CM51" s="462">
        <f t="shared" si="109"/>
        <v>835280.40241503273</v>
      </c>
      <c r="CN51" s="464">
        <f t="shared" si="110"/>
        <v>3355131.6192856412</v>
      </c>
      <c r="CO51" s="462">
        <f t="shared" si="111"/>
        <v>1284163.4700000014</v>
      </c>
      <c r="CP51" s="462">
        <f t="shared" si="112"/>
        <v>1254227.546388672</v>
      </c>
      <c r="CQ51" s="462">
        <f t="shared" si="113"/>
        <v>1302719.2613480042</v>
      </c>
      <c r="CR51" s="462">
        <f t="shared" si="114"/>
        <v>1348053.0227910234</v>
      </c>
      <c r="CS51" s="464">
        <f t="shared" si="115"/>
        <v>5189163.3005277002</v>
      </c>
    </row>
    <row r="52" spans="1:101" ht="15.75" customHeight="1" x14ac:dyDescent="0.25">
      <c r="A52" s="94" t="s">
        <v>1458</v>
      </c>
      <c r="B52" s="343">
        <v>30</v>
      </c>
      <c r="C52" s="671">
        <f>SUM('Schedule 3B_Income_Eastern:Schedule 3D_Income_The Cape'!C52)</f>
        <v>112737.55999999985</v>
      </c>
      <c r="D52" s="671">
        <f>SUM('Schedule 3B_Income_Eastern:Schedule 3D_Income_The Cape'!D52)</f>
        <v>222284.61999999982</v>
      </c>
      <c r="E52" s="671">
        <f>SUM('Schedule 3B_Income_Eastern:Schedule 3D_Income_The Cape'!E52)</f>
        <v>645308.4961687827</v>
      </c>
      <c r="F52" s="671">
        <f>SUM('Schedule 3B_Income_Eastern:Schedule 3D_Income_The Cape'!F52)</f>
        <v>954778.3393139852</v>
      </c>
      <c r="G52" s="671">
        <f>SUM('Schedule 3B_Income_Eastern:Schedule 3D_Income_The Cape'!G52)</f>
        <v>620064.70312917558</v>
      </c>
      <c r="H52" s="671">
        <f>SUM('Schedule 3B_Income_Eastern:Schedule 3D_Income_The Cape'!H52)</f>
        <v>910707.45124581992</v>
      </c>
      <c r="I52" s="671">
        <f>SUM('Schedule 3B_Income_Eastern:Schedule 3D_Income_The Cape'!I52)</f>
        <v>503583.13078390656</v>
      </c>
      <c r="J52" s="671">
        <f>SUM('Schedule 3B_Income_Eastern:Schedule 3D_Income_The Cape'!J52)</f>
        <v>660261.30513906665</v>
      </c>
      <c r="K52" s="672">
        <f t="shared" si="137"/>
        <v>4629725.6057807356</v>
      </c>
      <c r="L52" s="673">
        <f>SUM('Schedule 3B_Income_Eastern:Schedule 3D_Income_The Cape'!L52)</f>
        <v>0</v>
      </c>
      <c r="M52" s="671">
        <f>SUM('Schedule 3B_Income_Eastern:Schedule 3D_Income_The Cape'!M52)</f>
        <v>0</v>
      </c>
      <c r="N52" s="671">
        <f>SUM('Schedule 3B_Income_Eastern:Schedule 3D_Income_The Cape'!N52)</f>
        <v>0</v>
      </c>
      <c r="O52" s="671">
        <f>SUM('Schedule 3B_Income_Eastern:Schedule 3D_Income_The Cape'!O52)</f>
        <v>0</v>
      </c>
      <c r="P52" s="671">
        <f>SUM('Schedule 3B_Income_Eastern:Schedule 3D_Income_The Cape'!P52)</f>
        <v>0</v>
      </c>
      <c r="Q52" s="671">
        <f>SUM('Schedule 3B_Income_Eastern:Schedule 3D_Income_The Cape'!Q52)</f>
        <v>0</v>
      </c>
      <c r="R52" s="671">
        <f>SUM('Schedule 3B_Income_Eastern:Schedule 3D_Income_The Cape'!R52)</f>
        <v>0</v>
      </c>
      <c r="S52" s="671">
        <f>SUM('Schedule 3B_Income_Eastern:Schedule 3D_Income_The Cape'!S52)</f>
        <v>0</v>
      </c>
      <c r="T52" s="674">
        <f t="shared" si="138"/>
        <v>0</v>
      </c>
      <c r="U52" s="675">
        <f t="shared" si="139"/>
        <v>4629725.6057807356</v>
      </c>
      <c r="V52" s="343">
        <v>30</v>
      </c>
      <c r="W52" s="671">
        <f>SUM('Schedule 3B_Income_Eastern:Schedule 3D_Income_The Cape'!W52)</f>
        <v>4947.6699999999937</v>
      </c>
      <c r="X52" s="671">
        <f>SUM('Schedule 3B_Income_Eastern:Schedule 3D_Income_The Cape'!X52)</f>
        <v>9969.3899999999867</v>
      </c>
      <c r="Y52" s="671">
        <f>SUM('Schedule 3B_Income_Eastern:Schedule 3D_Income_The Cape'!Y52)</f>
        <v>4241.3023053430925</v>
      </c>
      <c r="Z52" s="671">
        <f>SUM('Schedule 3B_Income_Eastern:Schedule 3D_Income_The Cape'!Z52)</f>
        <v>31412.135822969503</v>
      </c>
      <c r="AA52" s="671">
        <f>SUM('Schedule 3B_Income_Eastern:Schedule 3D_Income_The Cape'!AA52)</f>
        <v>2613.3118920792717</v>
      </c>
      <c r="AB52" s="671">
        <f>SUM('Schedule 3B_Income_Eastern:Schedule 3D_Income_The Cape'!AB52)</f>
        <v>23218.857992769332</v>
      </c>
      <c r="AC52" s="671">
        <f>SUM('Schedule 3B_Income_Eastern:Schedule 3D_Income_The Cape'!AC52)</f>
        <v>3066.5883922650796</v>
      </c>
      <c r="AD52" s="671">
        <f>SUM('Schedule 3B_Income_Eastern:Schedule 3D_Income_The Cape'!AD52)</f>
        <v>12357.838447031532</v>
      </c>
      <c r="AE52" s="672">
        <f t="shared" si="140"/>
        <v>91827.094852457798</v>
      </c>
      <c r="AF52" s="673">
        <f>SUM('Schedule 3B_Income_Eastern:Schedule 3D_Income_The Cape'!AF52)</f>
        <v>0</v>
      </c>
      <c r="AG52" s="671">
        <f>SUM('Schedule 3B_Income_Eastern:Schedule 3D_Income_The Cape'!AG52)</f>
        <v>0</v>
      </c>
      <c r="AH52" s="671">
        <f>SUM('Schedule 3B_Income_Eastern:Schedule 3D_Income_The Cape'!AH52)</f>
        <v>0</v>
      </c>
      <c r="AI52" s="671">
        <f>SUM('Schedule 3B_Income_Eastern:Schedule 3D_Income_The Cape'!AI52)</f>
        <v>0</v>
      </c>
      <c r="AJ52" s="671">
        <f>SUM('Schedule 3B_Income_Eastern:Schedule 3D_Income_The Cape'!AJ52)</f>
        <v>0</v>
      </c>
      <c r="AK52" s="671">
        <f>SUM('Schedule 3B_Income_Eastern:Schedule 3D_Income_The Cape'!AK52)</f>
        <v>0</v>
      </c>
      <c r="AL52" s="671">
        <f>SUM('Schedule 3B_Income_Eastern:Schedule 3D_Income_The Cape'!AL52)</f>
        <v>0</v>
      </c>
      <c r="AM52" s="671">
        <f>SUM('Schedule 3B_Income_Eastern:Schedule 3D_Income_The Cape'!AM52)</f>
        <v>0</v>
      </c>
      <c r="AN52" s="674">
        <f t="shared" si="141"/>
        <v>0</v>
      </c>
      <c r="AO52" s="675">
        <f t="shared" si="142"/>
        <v>91827.094852457798</v>
      </c>
      <c r="AP52" s="343">
        <v>30</v>
      </c>
      <c r="AQ52" s="671">
        <f>SUM('Schedule 3B_Income_Eastern:Schedule 3D_Income_The Cape'!AQ52)</f>
        <v>3567309.0799999963</v>
      </c>
      <c r="AR52" s="671">
        <f>SUM('Schedule 3B_Income_Eastern:Schedule 3D_Income_The Cape'!AR52)</f>
        <v>8401052.4199999906</v>
      </c>
      <c r="AS52" s="671">
        <f>SUM('Schedule 3B_Income_Eastern:Schedule 3D_Income_The Cape'!AS52)</f>
        <v>3270408.1053822776</v>
      </c>
      <c r="AT52" s="671">
        <f>SUM('Schedule 3B_Income_Eastern:Schedule 3D_Income_The Cape'!AT52)</f>
        <v>8309808.9306425648</v>
      </c>
      <c r="AU52" s="671">
        <f>SUM('Schedule 3B_Income_Eastern:Schedule 3D_Income_The Cape'!AU52)</f>
        <v>3508907.7743828418</v>
      </c>
      <c r="AV52" s="671">
        <f>SUM('Schedule 3B_Income_Eastern:Schedule 3D_Income_The Cape'!AV52)</f>
        <v>9569377.5332401488</v>
      </c>
      <c r="AW52" s="671">
        <f>SUM('Schedule 3B_Income_Eastern:Schedule 3D_Income_The Cape'!AW52)</f>
        <v>4473809.0265235938</v>
      </c>
      <c r="AX52" s="671">
        <f>SUM('Schedule 3B_Income_Eastern:Schedule 3D_Income_The Cape'!AX52)</f>
        <v>10825748.887254579</v>
      </c>
      <c r="AY52" s="672">
        <f t="shared" si="143"/>
        <v>51926421.757425994</v>
      </c>
      <c r="AZ52" s="673">
        <f>SUM('Schedule 3B_Income_Eastern:Schedule 3D_Income_The Cape'!AZ52)</f>
        <v>0</v>
      </c>
      <c r="BA52" s="671">
        <f>SUM('Schedule 3B_Income_Eastern:Schedule 3D_Income_The Cape'!BA52)</f>
        <v>0</v>
      </c>
      <c r="BB52" s="671">
        <f>SUM('Schedule 3B_Income_Eastern:Schedule 3D_Income_The Cape'!BB52)</f>
        <v>0</v>
      </c>
      <c r="BC52" s="671">
        <f>SUM('Schedule 3B_Income_Eastern:Schedule 3D_Income_The Cape'!BC52)</f>
        <v>2198.0456705223705</v>
      </c>
      <c r="BD52" s="671">
        <f>SUM('Schedule 3B_Income_Eastern:Schedule 3D_Income_The Cape'!BD52)</f>
        <v>0</v>
      </c>
      <c r="BE52" s="671">
        <f>SUM('Schedule 3B_Income_Eastern:Schedule 3D_Income_The Cape'!BE52)</f>
        <v>91.589040265110143</v>
      </c>
      <c r="BF52" s="671">
        <f>SUM('Schedule 3B_Income_Eastern:Schedule 3D_Income_The Cape'!BF52)</f>
        <v>0</v>
      </c>
      <c r="BG52" s="671">
        <f>SUM('Schedule 3B_Income_Eastern:Schedule 3D_Income_The Cape'!BG52)</f>
        <v>439.0313454206929</v>
      </c>
      <c r="BH52" s="674">
        <f t="shared" si="144"/>
        <v>2728.6660562081738</v>
      </c>
      <c r="BI52" s="675">
        <f t="shared" si="145"/>
        <v>51929150.423482202</v>
      </c>
      <c r="BJ52" s="343">
        <v>30</v>
      </c>
      <c r="BK52" s="671">
        <f>SUM('Schedule 3B_Income_Eastern:Schedule 3D_Income_The Cape'!BK52)</f>
        <v>0</v>
      </c>
      <c r="BL52" s="671">
        <f>SUM('Schedule 3B_Income_Eastern:Schedule 3D_Income_The Cape'!BL52)</f>
        <v>16983.659999999982</v>
      </c>
      <c r="BM52" s="671">
        <f>SUM('Schedule 3B_Income_Eastern:Schedule 3D_Income_The Cape'!BM52)</f>
        <v>0</v>
      </c>
      <c r="BN52" s="671">
        <f>SUM('Schedule 3B_Income_Eastern:Schedule 3D_Income_The Cape'!BN52)</f>
        <v>821.87570952776082</v>
      </c>
      <c r="BO52" s="671">
        <f>SUM('Schedule 3B_Income_Eastern:Schedule 3D_Income_The Cape'!BO52)</f>
        <v>6217.5305786246854</v>
      </c>
      <c r="BP52" s="671">
        <f>SUM('Schedule 3B_Income_Eastern:Schedule 3D_Income_The Cape'!BP52)</f>
        <v>0</v>
      </c>
      <c r="BQ52" s="671">
        <f>SUM('Schedule 3B_Income_Eastern:Schedule 3D_Income_The Cape'!BQ52)</f>
        <v>7203.0340666801603</v>
      </c>
      <c r="BR52" s="671">
        <f>SUM('Schedule 3B_Income_Eastern:Schedule 3D_Income_The Cape'!BR52)</f>
        <v>9501.9196501209772</v>
      </c>
      <c r="BS52" s="672">
        <f t="shared" si="146"/>
        <v>40728.020004953563</v>
      </c>
      <c r="BT52" s="673">
        <f>SUM('Schedule 3B_Income_Eastern:Schedule 3D_Income_The Cape'!BT52)</f>
        <v>0</v>
      </c>
      <c r="BU52" s="671">
        <f>SUM('Schedule 3B_Income_Eastern:Schedule 3D_Income_The Cape'!BU52)</f>
        <v>0</v>
      </c>
      <c r="BV52" s="671">
        <f>SUM('Schedule 3B_Income_Eastern:Schedule 3D_Income_The Cape'!BV52)</f>
        <v>0</v>
      </c>
      <c r="BW52" s="671">
        <f>SUM('Schedule 3B_Income_Eastern:Schedule 3D_Income_The Cape'!BW52)</f>
        <v>0</v>
      </c>
      <c r="BX52" s="671">
        <f>SUM('Schedule 3B_Income_Eastern:Schedule 3D_Income_The Cape'!BX52)</f>
        <v>0</v>
      </c>
      <c r="BY52" s="671">
        <f>SUM('Schedule 3B_Income_Eastern:Schedule 3D_Income_The Cape'!BY52)</f>
        <v>0</v>
      </c>
      <c r="BZ52" s="671">
        <f>SUM('Schedule 3B_Income_Eastern:Schedule 3D_Income_The Cape'!BZ52)</f>
        <v>0</v>
      </c>
      <c r="CA52" s="671">
        <f>SUM('Schedule 3B_Income_Eastern:Schedule 3D_Income_The Cape'!CA52)</f>
        <v>0</v>
      </c>
      <c r="CB52" s="674">
        <f t="shared" si="147"/>
        <v>0</v>
      </c>
      <c r="CC52" s="675">
        <f t="shared" si="148"/>
        <v>40728.020004953563</v>
      </c>
      <c r="CD52" s="343">
        <v>30</v>
      </c>
      <c r="CE52" s="462">
        <f t="shared" si="101"/>
        <v>12335284.399999987</v>
      </c>
      <c r="CF52" s="462">
        <f t="shared" si="102"/>
        <v>13216779.18534545</v>
      </c>
      <c r="CG52" s="462">
        <f t="shared" si="103"/>
        <v>14641107.16246146</v>
      </c>
      <c r="CH52" s="462">
        <f t="shared" si="104"/>
        <v>16495531.730257245</v>
      </c>
      <c r="CI52" s="464">
        <f t="shared" si="105"/>
        <v>56688702.478064135</v>
      </c>
      <c r="CJ52" s="462">
        <f t="shared" si="106"/>
        <v>0</v>
      </c>
      <c r="CK52" s="462">
        <f t="shared" si="107"/>
        <v>2198.0456705223705</v>
      </c>
      <c r="CL52" s="462">
        <f t="shared" si="108"/>
        <v>91.589040265110143</v>
      </c>
      <c r="CM52" s="462">
        <f t="shared" si="109"/>
        <v>439.0313454206929</v>
      </c>
      <c r="CN52" s="464">
        <f t="shared" si="110"/>
        <v>2728.6660562081738</v>
      </c>
      <c r="CO52" s="462">
        <f t="shared" si="111"/>
        <v>12335284.399999987</v>
      </c>
      <c r="CP52" s="462">
        <f t="shared" si="112"/>
        <v>13218977.231015973</v>
      </c>
      <c r="CQ52" s="462">
        <f t="shared" si="113"/>
        <v>14641198.751501724</v>
      </c>
      <c r="CR52" s="462">
        <f t="shared" si="114"/>
        <v>16495970.761602666</v>
      </c>
      <c r="CS52" s="464">
        <f t="shared" si="115"/>
        <v>56691431.144120343</v>
      </c>
    </row>
    <row r="53" spans="1:101" ht="15.75" customHeight="1" x14ac:dyDescent="0.25">
      <c r="A53" s="94" t="s">
        <v>430</v>
      </c>
      <c r="B53" s="343">
        <v>31</v>
      </c>
      <c r="C53" s="671">
        <f>SUM('Schedule 3B_Income_Eastern:Schedule 3D_Income_The Cape'!C53)</f>
        <v>90886.909999999902</v>
      </c>
      <c r="D53" s="671">
        <f>SUM('Schedule 3B_Income_Eastern:Schedule 3D_Income_The Cape'!D53)</f>
        <v>147000.65999999986</v>
      </c>
      <c r="E53" s="671">
        <f>SUM('Schedule 3B_Income_Eastern:Schedule 3D_Income_The Cape'!E53)</f>
        <v>746699.44975144241</v>
      </c>
      <c r="F53" s="671">
        <f>SUM('Schedule 3B_Income_Eastern:Schedule 3D_Income_The Cape'!F53)</f>
        <v>777150.59535729059</v>
      </c>
      <c r="G53" s="671">
        <f>SUM('Schedule 3B_Income_Eastern:Schedule 3D_Income_The Cape'!G53)</f>
        <v>809565.32356610114</v>
      </c>
      <c r="H53" s="671">
        <f>SUM('Schedule 3B_Income_Eastern:Schedule 3D_Income_The Cape'!H53)</f>
        <v>749274.89962366305</v>
      </c>
      <c r="I53" s="671">
        <f>SUM('Schedule 3B_Income_Eastern:Schedule 3D_Income_The Cape'!I53)</f>
        <v>565932.83505084121</v>
      </c>
      <c r="J53" s="671">
        <f>SUM('Schedule 3B_Income_Eastern:Schedule 3D_Income_The Cape'!J53)</f>
        <v>477277.181475944</v>
      </c>
      <c r="K53" s="672">
        <f t="shared" si="137"/>
        <v>4363787.8548252825</v>
      </c>
      <c r="L53" s="673">
        <f>SUM('Schedule 3B_Income_Eastern:Schedule 3D_Income_The Cape'!L53)</f>
        <v>0</v>
      </c>
      <c r="M53" s="671">
        <f>SUM('Schedule 3B_Income_Eastern:Schedule 3D_Income_The Cape'!M53)</f>
        <v>0</v>
      </c>
      <c r="N53" s="671">
        <f>SUM('Schedule 3B_Income_Eastern:Schedule 3D_Income_The Cape'!N53)</f>
        <v>0</v>
      </c>
      <c r="O53" s="671">
        <f>SUM('Schedule 3B_Income_Eastern:Schedule 3D_Income_The Cape'!O53)</f>
        <v>0</v>
      </c>
      <c r="P53" s="671">
        <f>SUM('Schedule 3B_Income_Eastern:Schedule 3D_Income_The Cape'!P53)</f>
        <v>0</v>
      </c>
      <c r="Q53" s="671">
        <f>SUM('Schedule 3B_Income_Eastern:Schedule 3D_Income_The Cape'!Q53)</f>
        <v>0</v>
      </c>
      <c r="R53" s="671">
        <f>SUM('Schedule 3B_Income_Eastern:Schedule 3D_Income_The Cape'!R53)</f>
        <v>0</v>
      </c>
      <c r="S53" s="671">
        <f>SUM('Schedule 3B_Income_Eastern:Schedule 3D_Income_The Cape'!S53)</f>
        <v>0</v>
      </c>
      <c r="T53" s="674">
        <f t="shared" si="138"/>
        <v>0</v>
      </c>
      <c r="U53" s="675">
        <f t="shared" si="139"/>
        <v>4363787.8548252825</v>
      </c>
      <c r="V53" s="343">
        <v>31</v>
      </c>
      <c r="W53" s="671">
        <f>SUM('Schedule 3B_Income_Eastern:Schedule 3D_Income_The Cape'!W53)</f>
        <v>49564.559999999947</v>
      </c>
      <c r="X53" s="671">
        <f>SUM('Schedule 3B_Income_Eastern:Schedule 3D_Income_The Cape'!X53)</f>
        <v>14749.059999999987</v>
      </c>
      <c r="Y53" s="671">
        <f>SUM('Schedule 3B_Income_Eastern:Schedule 3D_Income_The Cape'!Y53)</f>
        <v>43779.165521962932</v>
      </c>
      <c r="Z53" s="671">
        <f>SUM('Schedule 3B_Income_Eastern:Schedule 3D_Income_The Cape'!Z53)</f>
        <v>16650.676420235239</v>
      </c>
      <c r="AA53" s="671">
        <f>SUM('Schedule 3B_Income_Eastern:Schedule 3D_Income_The Cape'!AA53)</f>
        <v>31095.583672269895</v>
      </c>
      <c r="AB53" s="671">
        <f>SUM('Schedule 3B_Income_Eastern:Schedule 3D_Income_The Cape'!AB53)</f>
        <v>19769.810207301642</v>
      </c>
      <c r="AC53" s="671">
        <f>SUM('Schedule 3B_Income_Eastern:Schedule 3D_Income_The Cape'!AC53)</f>
        <v>22548.674720265986</v>
      </c>
      <c r="AD53" s="671">
        <f>SUM('Schedule 3B_Income_Eastern:Schedule 3D_Income_The Cape'!AD53)</f>
        <v>10927.21966290493</v>
      </c>
      <c r="AE53" s="672">
        <f t="shared" si="140"/>
        <v>209084.75020494056</v>
      </c>
      <c r="AF53" s="673">
        <f>SUM('Schedule 3B_Income_Eastern:Schedule 3D_Income_The Cape'!AF53)</f>
        <v>0</v>
      </c>
      <c r="AG53" s="671">
        <f>SUM('Schedule 3B_Income_Eastern:Schedule 3D_Income_The Cape'!AG53)</f>
        <v>0</v>
      </c>
      <c r="AH53" s="671">
        <f>SUM('Schedule 3B_Income_Eastern:Schedule 3D_Income_The Cape'!AH53)</f>
        <v>0</v>
      </c>
      <c r="AI53" s="671">
        <f>SUM('Schedule 3B_Income_Eastern:Schedule 3D_Income_The Cape'!AI53)</f>
        <v>0</v>
      </c>
      <c r="AJ53" s="671">
        <f>SUM('Schedule 3B_Income_Eastern:Schedule 3D_Income_The Cape'!AJ53)</f>
        <v>0</v>
      </c>
      <c r="AK53" s="671">
        <f>SUM('Schedule 3B_Income_Eastern:Schedule 3D_Income_The Cape'!AK53)</f>
        <v>0</v>
      </c>
      <c r="AL53" s="671">
        <f>SUM('Schedule 3B_Income_Eastern:Schedule 3D_Income_The Cape'!AL53)</f>
        <v>0</v>
      </c>
      <c r="AM53" s="671">
        <f>SUM('Schedule 3B_Income_Eastern:Schedule 3D_Income_The Cape'!AM53)</f>
        <v>0</v>
      </c>
      <c r="AN53" s="674">
        <f t="shared" si="141"/>
        <v>0</v>
      </c>
      <c r="AO53" s="675">
        <f t="shared" si="142"/>
        <v>209084.75020494056</v>
      </c>
      <c r="AP53" s="343">
        <v>31</v>
      </c>
      <c r="AQ53" s="671">
        <f>SUM('Schedule 3B_Income_Eastern:Schedule 3D_Income_The Cape'!AQ53)</f>
        <v>6495865.4699999932</v>
      </c>
      <c r="AR53" s="671">
        <f>SUM('Schedule 3B_Income_Eastern:Schedule 3D_Income_The Cape'!AR53)</f>
        <v>8882681.4399999883</v>
      </c>
      <c r="AS53" s="671">
        <f>SUM('Schedule 3B_Income_Eastern:Schedule 3D_Income_The Cape'!AS53)</f>
        <v>5696727.7547746003</v>
      </c>
      <c r="AT53" s="671">
        <f>SUM('Schedule 3B_Income_Eastern:Schedule 3D_Income_The Cape'!AT53)</f>
        <v>9200569.4338394217</v>
      </c>
      <c r="AU53" s="671">
        <f>SUM('Schedule 3B_Income_Eastern:Schedule 3D_Income_The Cape'!AU53)</f>
        <v>6797675.3344165795</v>
      </c>
      <c r="AV53" s="671">
        <f>SUM('Schedule 3B_Income_Eastern:Schedule 3D_Income_The Cape'!AV53)</f>
        <v>10062989.307424754</v>
      </c>
      <c r="AW53" s="671">
        <f>SUM('Schedule 3B_Income_Eastern:Schedule 3D_Income_The Cape'!AW53)</f>
        <v>7714625.1355758021</v>
      </c>
      <c r="AX53" s="671">
        <f>SUM('Schedule 3B_Income_Eastern:Schedule 3D_Income_The Cape'!AX53)</f>
        <v>10681467.713188376</v>
      </c>
      <c r="AY53" s="672">
        <f t="shared" si="143"/>
        <v>65532601.589219511</v>
      </c>
      <c r="AZ53" s="673">
        <f>SUM('Schedule 3B_Income_Eastern:Schedule 3D_Income_The Cape'!AZ53)</f>
        <v>0</v>
      </c>
      <c r="BA53" s="671">
        <f>SUM('Schedule 3B_Income_Eastern:Schedule 3D_Income_The Cape'!BA53)</f>
        <v>0</v>
      </c>
      <c r="BB53" s="671">
        <f>SUM('Schedule 3B_Income_Eastern:Schedule 3D_Income_The Cape'!BB53)</f>
        <v>0</v>
      </c>
      <c r="BC53" s="671">
        <f>SUM('Schedule 3B_Income_Eastern:Schedule 3D_Income_The Cape'!BC53)</f>
        <v>0</v>
      </c>
      <c r="BD53" s="671">
        <f>SUM('Schedule 3B_Income_Eastern:Schedule 3D_Income_The Cape'!BD53)</f>
        <v>0</v>
      </c>
      <c r="BE53" s="671">
        <f>SUM('Schedule 3B_Income_Eastern:Schedule 3D_Income_The Cape'!BE53)</f>
        <v>0</v>
      </c>
      <c r="BF53" s="671">
        <f>SUM('Schedule 3B_Income_Eastern:Schedule 3D_Income_The Cape'!BF53)</f>
        <v>0</v>
      </c>
      <c r="BG53" s="671">
        <f>SUM('Schedule 3B_Income_Eastern:Schedule 3D_Income_The Cape'!BG53)</f>
        <v>14341.166159665911</v>
      </c>
      <c r="BH53" s="674">
        <f t="shared" si="144"/>
        <v>14341.166159665911</v>
      </c>
      <c r="BI53" s="675">
        <f t="shared" si="145"/>
        <v>65546942.755379178</v>
      </c>
      <c r="BJ53" s="343">
        <v>31</v>
      </c>
      <c r="BK53" s="671">
        <f>SUM('Schedule 3B_Income_Eastern:Schedule 3D_Income_The Cape'!BK53)</f>
        <v>0</v>
      </c>
      <c r="BL53" s="671">
        <f>SUM('Schedule 3B_Income_Eastern:Schedule 3D_Income_The Cape'!BL53)</f>
        <v>10104.719999999988</v>
      </c>
      <c r="BM53" s="671">
        <f>SUM('Schedule 3B_Income_Eastern:Schedule 3D_Income_The Cape'!BM53)</f>
        <v>653.82818464676973</v>
      </c>
      <c r="BN53" s="671">
        <f>SUM('Schedule 3B_Income_Eastern:Schedule 3D_Income_The Cape'!BN53)</f>
        <v>5202.0624984762999</v>
      </c>
      <c r="BO53" s="671">
        <f>SUM('Schedule 3B_Income_Eastern:Schedule 3D_Income_The Cape'!BO53)</f>
        <v>0</v>
      </c>
      <c r="BP53" s="671">
        <f>SUM('Schedule 3B_Income_Eastern:Schedule 3D_Income_The Cape'!BP53)</f>
        <v>6903.7432469942241</v>
      </c>
      <c r="BQ53" s="671">
        <f>SUM('Schedule 3B_Income_Eastern:Schedule 3D_Income_The Cape'!BQ53)</f>
        <v>0</v>
      </c>
      <c r="BR53" s="671">
        <f>SUM('Schedule 3B_Income_Eastern:Schedule 3D_Income_The Cape'!BR53)</f>
        <v>3691.1669854700194</v>
      </c>
      <c r="BS53" s="672">
        <f t="shared" si="146"/>
        <v>26555.520915587302</v>
      </c>
      <c r="BT53" s="673">
        <f>SUM('Schedule 3B_Income_Eastern:Schedule 3D_Income_The Cape'!BT53)</f>
        <v>0</v>
      </c>
      <c r="BU53" s="671">
        <f>SUM('Schedule 3B_Income_Eastern:Schedule 3D_Income_The Cape'!BU53)</f>
        <v>0</v>
      </c>
      <c r="BV53" s="671">
        <f>SUM('Schedule 3B_Income_Eastern:Schedule 3D_Income_The Cape'!BV53)</f>
        <v>0</v>
      </c>
      <c r="BW53" s="671">
        <f>SUM('Schedule 3B_Income_Eastern:Schedule 3D_Income_The Cape'!BW53)</f>
        <v>0</v>
      </c>
      <c r="BX53" s="671">
        <f>SUM('Schedule 3B_Income_Eastern:Schedule 3D_Income_The Cape'!BX53)</f>
        <v>0</v>
      </c>
      <c r="BY53" s="671">
        <f>SUM('Schedule 3B_Income_Eastern:Schedule 3D_Income_The Cape'!BY53)</f>
        <v>0</v>
      </c>
      <c r="BZ53" s="671">
        <f>SUM('Schedule 3B_Income_Eastern:Schedule 3D_Income_The Cape'!BZ53)</f>
        <v>0</v>
      </c>
      <c r="CA53" s="671">
        <f>SUM('Schedule 3B_Income_Eastern:Schedule 3D_Income_The Cape'!CA53)</f>
        <v>0</v>
      </c>
      <c r="CB53" s="674">
        <f t="shared" si="147"/>
        <v>0</v>
      </c>
      <c r="CC53" s="675">
        <f t="shared" si="148"/>
        <v>26555.520915587302</v>
      </c>
      <c r="CD53" s="343">
        <v>31</v>
      </c>
      <c r="CE53" s="462">
        <f t="shared" si="101"/>
        <v>15690852.819999982</v>
      </c>
      <c r="CF53" s="462">
        <f t="shared" si="102"/>
        <v>16487432.966348076</v>
      </c>
      <c r="CG53" s="462">
        <f t="shared" si="103"/>
        <v>18477274.002157666</v>
      </c>
      <c r="CH53" s="462">
        <f t="shared" si="104"/>
        <v>19476469.926659603</v>
      </c>
      <c r="CI53" s="464">
        <f t="shared" si="105"/>
        <v>70132029.715165317</v>
      </c>
      <c r="CJ53" s="462">
        <f t="shared" si="106"/>
        <v>0</v>
      </c>
      <c r="CK53" s="462">
        <f t="shared" si="107"/>
        <v>0</v>
      </c>
      <c r="CL53" s="462">
        <f t="shared" si="108"/>
        <v>0</v>
      </c>
      <c r="CM53" s="462">
        <f t="shared" si="109"/>
        <v>14341.166159665911</v>
      </c>
      <c r="CN53" s="464">
        <f t="shared" si="110"/>
        <v>14341.166159665911</v>
      </c>
      <c r="CO53" s="462">
        <f t="shared" si="111"/>
        <v>15690852.819999982</v>
      </c>
      <c r="CP53" s="462">
        <f t="shared" si="112"/>
        <v>16487432.966348076</v>
      </c>
      <c r="CQ53" s="462">
        <f t="shared" si="113"/>
        <v>18477274.002157666</v>
      </c>
      <c r="CR53" s="462">
        <f t="shared" si="114"/>
        <v>19490811.09281927</v>
      </c>
      <c r="CS53" s="464">
        <f t="shared" si="115"/>
        <v>70146370.881324992</v>
      </c>
    </row>
    <row r="54" spans="1:101" ht="15.75" customHeight="1" x14ac:dyDescent="0.25">
      <c r="A54" s="94" t="s">
        <v>453</v>
      </c>
      <c r="B54" s="343">
        <v>32</v>
      </c>
      <c r="C54" s="671">
        <f>SUM('Schedule 3B_Income_Eastern:Schedule 3D_Income_The Cape'!C54)</f>
        <v>0</v>
      </c>
      <c r="D54" s="671">
        <f>SUM('Schedule 3B_Income_Eastern:Schedule 3D_Income_The Cape'!D54)</f>
        <v>0</v>
      </c>
      <c r="E54" s="671">
        <f>SUM('Schedule 3B_Income_Eastern:Schedule 3D_Income_The Cape'!E54)</f>
        <v>0</v>
      </c>
      <c r="F54" s="671">
        <f>SUM('Schedule 3B_Income_Eastern:Schedule 3D_Income_The Cape'!F54)</f>
        <v>0</v>
      </c>
      <c r="G54" s="671">
        <f>SUM('Schedule 3B_Income_Eastern:Schedule 3D_Income_The Cape'!G54)</f>
        <v>0</v>
      </c>
      <c r="H54" s="671">
        <f>SUM('Schedule 3B_Income_Eastern:Schedule 3D_Income_The Cape'!H54)</f>
        <v>0</v>
      </c>
      <c r="I54" s="671">
        <f>SUM('Schedule 3B_Income_Eastern:Schedule 3D_Income_The Cape'!I54)</f>
        <v>0</v>
      </c>
      <c r="J54" s="671">
        <f>SUM('Schedule 3B_Income_Eastern:Schedule 3D_Income_The Cape'!J54)</f>
        <v>0</v>
      </c>
      <c r="K54" s="672">
        <f t="shared" si="137"/>
        <v>0</v>
      </c>
      <c r="L54" s="673">
        <f>SUM('Schedule 3B_Income_Eastern:Schedule 3D_Income_The Cape'!L54)</f>
        <v>0</v>
      </c>
      <c r="M54" s="671">
        <f>SUM('Schedule 3B_Income_Eastern:Schedule 3D_Income_The Cape'!M54)</f>
        <v>0</v>
      </c>
      <c r="N54" s="671">
        <f>SUM('Schedule 3B_Income_Eastern:Schedule 3D_Income_The Cape'!N54)</f>
        <v>0</v>
      </c>
      <c r="O54" s="671">
        <f>SUM('Schedule 3B_Income_Eastern:Schedule 3D_Income_The Cape'!O54)</f>
        <v>0</v>
      </c>
      <c r="P54" s="671">
        <f>SUM('Schedule 3B_Income_Eastern:Schedule 3D_Income_The Cape'!P54)</f>
        <v>0</v>
      </c>
      <c r="Q54" s="671">
        <f>SUM('Schedule 3B_Income_Eastern:Schedule 3D_Income_The Cape'!Q54)</f>
        <v>0</v>
      </c>
      <c r="R54" s="671">
        <f>SUM('Schedule 3B_Income_Eastern:Schedule 3D_Income_The Cape'!R54)</f>
        <v>0</v>
      </c>
      <c r="S54" s="671">
        <f>SUM('Schedule 3B_Income_Eastern:Schedule 3D_Income_The Cape'!S54)</f>
        <v>0</v>
      </c>
      <c r="T54" s="674">
        <f t="shared" si="138"/>
        <v>0</v>
      </c>
      <c r="U54" s="675">
        <f t="shared" si="139"/>
        <v>0</v>
      </c>
      <c r="V54" s="343">
        <v>32</v>
      </c>
      <c r="W54" s="671">
        <f>SUM('Schedule 3B_Income_Eastern:Schedule 3D_Income_The Cape'!W54)</f>
        <v>0</v>
      </c>
      <c r="X54" s="671">
        <f>SUM('Schedule 3B_Income_Eastern:Schedule 3D_Income_The Cape'!X54)</f>
        <v>0</v>
      </c>
      <c r="Y54" s="671">
        <f>SUM('Schedule 3B_Income_Eastern:Schedule 3D_Income_The Cape'!Y54)</f>
        <v>0</v>
      </c>
      <c r="Z54" s="671">
        <f>SUM('Schedule 3B_Income_Eastern:Schedule 3D_Income_The Cape'!Z54)</f>
        <v>0</v>
      </c>
      <c r="AA54" s="671">
        <f>SUM('Schedule 3B_Income_Eastern:Schedule 3D_Income_The Cape'!AA54)</f>
        <v>0</v>
      </c>
      <c r="AB54" s="671">
        <f>SUM('Schedule 3B_Income_Eastern:Schedule 3D_Income_The Cape'!AB54)</f>
        <v>0</v>
      </c>
      <c r="AC54" s="671">
        <f>SUM('Schedule 3B_Income_Eastern:Schedule 3D_Income_The Cape'!AC54)</f>
        <v>0</v>
      </c>
      <c r="AD54" s="671">
        <f>SUM('Schedule 3B_Income_Eastern:Schedule 3D_Income_The Cape'!AD54)</f>
        <v>0</v>
      </c>
      <c r="AE54" s="672">
        <f t="shared" si="140"/>
        <v>0</v>
      </c>
      <c r="AF54" s="673">
        <f>SUM('Schedule 3B_Income_Eastern:Schedule 3D_Income_The Cape'!AF54)</f>
        <v>0</v>
      </c>
      <c r="AG54" s="671">
        <f>SUM('Schedule 3B_Income_Eastern:Schedule 3D_Income_The Cape'!AG54)</f>
        <v>0</v>
      </c>
      <c r="AH54" s="671">
        <f>SUM('Schedule 3B_Income_Eastern:Schedule 3D_Income_The Cape'!AH54)</f>
        <v>0</v>
      </c>
      <c r="AI54" s="671">
        <f>SUM('Schedule 3B_Income_Eastern:Schedule 3D_Income_The Cape'!AI54)</f>
        <v>0</v>
      </c>
      <c r="AJ54" s="671">
        <f>SUM('Schedule 3B_Income_Eastern:Schedule 3D_Income_The Cape'!AJ54)</f>
        <v>0</v>
      </c>
      <c r="AK54" s="671">
        <f>SUM('Schedule 3B_Income_Eastern:Schedule 3D_Income_The Cape'!AK54)</f>
        <v>0</v>
      </c>
      <c r="AL54" s="671">
        <f>SUM('Schedule 3B_Income_Eastern:Schedule 3D_Income_The Cape'!AL54)</f>
        <v>0</v>
      </c>
      <c r="AM54" s="671">
        <f>SUM('Schedule 3B_Income_Eastern:Schedule 3D_Income_The Cape'!AM54)</f>
        <v>0</v>
      </c>
      <c r="AN54" s="674">
        <f t="shared" si="141"/>
        <v>0</v>
      </c>
      <c r="AO54" s="675">
        <f t="shared" si="142"/>
        <v>0</v>
      </c>
      <c r="AP54" s="343">
        <v>32</v>
      </c>
      <c r="AQ54" s="671">
        <f>SUM('Schedule 3B_Income_Eastern:Schedule 3D_Income_The Cape'!AQ54)</f>
        <v>0</v>
      </c>
      <c r="AR54" s="671">
        <f>SUM('Schedule 3B_Income_Eastern:Schedule 3D_Income_The Cape'!AR54)</f>
        <v>0</v>
      </c>
      <c r="AS54" s="671">
        <f>SUM('Schedule 3B_Income_Eastern:Schedule 3D_Income_The Cape'!AS54)</f>
        <v>0</v>
      </c>
      <c r="AT54" s="671">
        <f>SUM('Schedule 3B_Income_Eastern:Schedule 3D_Income_The Cape'!AT54)</f>
        <v>0</v>
      </c>
      <c r="AU54" s="671">
        <f>SUM('Schedule 3B_Income_Eastern:Schedule 3D_Income_The Cape'!AU54)</f>
        <v>0</v>
      </c>
      <c r="AV54" s="671">
        <f>SUM('Schedule 3B_Income_Eastern:Schedule 3D_Income_The Cape'!AV54)</f>
        <v>0</v>
      </c>
      <c r="AW54" s="671">
        <f>SUM('Schedule 3B_Income_Eastern:Schedule 3D_Income_The Cape'!AW54)</f>
        <v>0</v>
      </c>
      <c r="AX54" s="671">
        <f>SUM('Schedule 3B_Income_Eastern:Schedule 3D_Income_The Cape'!AX54)</f>
        <v>0</v>
      </c>
      <c r="AY54" s="672">
        <f t="shared" si="143"/>
        <v>0</v>
      </c>
      <c r="AZ54" s="673">
        <f>SUM('Schedule 3B_Income_Eastern:Schedule 3D_Income_The Cape'!AZ54)</f>
        <v>0</v>
      </c>
      <c r="BA54" s="671">
        <f>SUM('Schedule 3B_Income_Eastern:Schedule 3D_Income_The Cape'!BA54)</f>
        <v>0</v>
      </c>
      <c r="BB54" s="671">
        <f>SUM('Schedule 3B_Income_Eastern:Schedule 3D_Income_The Cape'!BB54)</f>
        <v>0</v>
      </c>
      <c r="BC54" s="671">
        <f>SUM('Schedule 3B_Income_Eastern:Schedule 3D_Income_The Cape'!BC54)</f>
        <v>0</v>
      </c>
      <c r="BD54" s="671">
        <f>SUM('Schedule 3B_Income_Eastern:Schedule 3D_Income_The Cape'!BD54)</f>
        <v>0</v>
      </c>
      <c r="BE54" s="671">
        <f>SUM('Schedule 3B_Income_Eastern:Schedule 3D_Income_The Cape'!BE54)</f>
        <v>0</v>
      </c>
      <c r="BF54" s="671">
        <f>SUM('Schedule 3B_Income_Eastern:Schedule 3D_Income_The Cape'!BF54)</f>
        <v>0</v>
      </c>
      <c r="BG54" s="671">
        <f>SUM('Schedule 3B_Income_Eastern:Schedule 3D_Income_The Cape'!BG54)</f>
        <v>0</v>
      </c>
      <c r="BH54" s="674">
        <f t="shared" si="144"/>
        <v>0</v>
      </c>
      <c r="BI54" s="675">
        <f t="shared" si="145"/>
        <v>0</v>
      </c>
      <c r="BJ54" s="343">
        <v>32</v>
      </c>
      <c r="BK54" s="671">
        <f>SUM('Schedule 3B_Income_Eastern:Schedule 3D_Income_The Cape'!BK54)</f>
        <v>0</v>
      </c>
      <c r="BL54" s="671">
        <f>SUM('Schedule 3B_Income_Eastern:Schedule 3D_Income_The Cape'!BL54)</f>
        <v>0</v>
      </c>
      <c r="BM54" s="671">
        <f>SUM('Schedule 3B_Income_Eastern:Schedule 3D_Income_The Cape'!BM54)</f>
        <v>0</v>
      </c>
      <c r="BN54" s="671">
        <f>SUM('Schedule 3B_Income_Eastern:Schedule 3D_Income_The Cape'!BN54)</f>
        <v>0</v>
      </c>
      <c r="BO54" s="671">
        <f>SUM('Schedule 3B_Income_Eastern:Schedule 3D_Income_The Cape'!BO54)</f>
        <v>0</v>
      </c>
      <c r="BP54" s="671">
        <f>SUM('Schedule 3B_Income_Eastern:Schedule 3D_Income_The Cape'!BP54)</f>
        <v>0</v>
      </c>
      <c r="BQ54" s="671">
        <f>SUM('Schedule 3B_Income_Eastern:Schedule 3D_Income_The Cape'!BQ54)</f>
        <v>0</v>
      </c>
      <c r="BR54" s="671">
        <f>SUM('Schedule 3B_Income_Eastern:Schedule 3D_Income_The Cape'!BR54)</f>
        <v>0</v>
      </c>
      <c r="BS54" s="672">
        <f t="shared" si="146"/>
        <v>0</v>
      </c>
      <c r="BT54" s="673">
        <f>SUM('Schedule 3B_Income_Eastern:Schedule 3D_Income_The Cape'!BT54)</f>
        <v>0</v>
      </c>
      <c r="BU54" s="671">
        <f>SUM('Schedule 3B_Income_Eastern:Schedule 3D_Income_The Cape'!BU54)</f>
        <v>0</v>
      </c>
      <c r="BV54" s="671">
        <f>SUM('Schedule 3B_Income_Eastern:Schedule 3D_Income_The Cape'!BV54)</f>
        <v>0</v>
      </c>
      <c r="BW54" s="671">
        <f>SUM('Schedule 3B_Income_Eastern:Schedule 3D_Income_The Cape'!BW54)</f>
        <v>0</v>
      </c>
      <c r="BX54" s="671">
        <f>SUM('Schedule 3B_Income_Eastern:Schedule 3D_Income_The Cape'!BX54)</f>
        <v>0</v>
      </c>
      <c r="BY54" s="671">
        <f>SUM('Schedule 3B_Income_Eastern:Schedule 3D_Income_The Cape'!BY54)</f>
        <v>0</v>
      </c>
      <c r="BZ54" s="671">
        <f>SUM('Schedule 3B_Income_Eastern:Schedule 3D_Income_The Cape'!BZ54)</f>
        <v>0</v>
      </c>
      <c r="CA54" s="671">
        <f>SUM('Schedule 3B_Income_Eastern:Schedule 3D_Income_The Cape'!CA54)</f>
        <v>0</v>
      </c>
      <c r="CB54" s="674">
        <f t="shared" si="147"/>
        <v>0</v>
      </c>
      <c r="CC54" s="675">
        <f t="shared" si="148"/>
        <v>0</v>
      </c>
      <c r="CD54" s="343">
        <v>32</v>
      </c>
      <c r="CE54" s="462">
        <f t="shared" si="101"/>
        <v>0</v>
      </c>
      <c r="CF54" s="462">
        <f t="shared" si="102"/>
        <v>0</v>
      </c>
      <c r="CG54" s="462">
        <f t="shared" si="103"/>
        <v>0</v>
      </c>
      <c r="CH54" s="462">
        <f t="shared" si="104"/>
        <v>0</v>
      </c>
      <c r="CI54" s="464">
        <f t="shared" si="105"/>
        <v>0</v>
      </c>
      <c r="CJ54" s="462">
        <f t="shared" si="106"/>
        <v>0</v>
      </c>
      <c r="CK54" s="462">
        <f t="shared" si="107"/>
        <v>0</v>
      </c>
      <c r="CL54" s="462">
        <f t="shared" si="108"/>
        <v>0</v>
      </c>
      <c r="CM54" s="462">
        <f t="shared" si="109"/>
        <v>0</v>
      </c>
      <c r="CN54" s="464">
        <f t="shared" si="110"/>
        <v>0</v>
      </c>
      <c r="CO54" s="462">
        <f t="shared" si="111"/>
        <v>0</v>
      </c>
      <c r="CP54" s="462">
        <f t="shared" si="112"/>
        <v>0</v>
      </c>
      <c r="CQ54" s="462">
        <f t="shared" si="113"/>
        <v>0</v>
      </c>
      <c r="CR54" s="462">
        <f t="shared" si="114"/>
        <v>0</v>
      </c>
      <c r="CS54" s="464">
        <f t="shared" si="115"/>
        <v>0</v>
      </c>
    </row>
    <row r="55" spans="1:101" ht="15.75" customHeight="1" x14ac:dyDescent="0.25">
      <c r="A55" s="94" t="s">
        <v>1459</v>
      </c>
      <c r="B55" s="343">
        <v>33</v>
      </c>
      <c r="C55" s="671">
        <f>SUM('Schedule 3B_Income_Eastern:Schedule 3D_Income_The Cape'!C55)</f>
        <v>48273.509999999944</v>
      </c>
      <c r="D55" s="671">
        <f>SUM('Schedule 3B_Income_Eastern:Schedule 3D_Income_The Cape'!D55)</f>
        <v>481794.27999999956</v>
      </c>
      <c r="E55" s="671">
        <f>SUM('Schedule 3B_Income_Eastern:Schedule 3D_Income_The Cape'!E55)</f>
        <v>145514.4650148279</v>
      </c>
      <c r="F55" s="671">
        <f>SUM('Schedule 3B_Income_Eastern:Schedule 3D_Income_The Cape'!F55)</f>
        <v>1247847.2820869144</v>
      </c>
      <c r="G55" s="671">
        <f>SUM('Schedule 3B_Income_Eastern:Schedule 3D_Income_The Cape'!G55)</f>
        <v>142735.48944412454</v>
      </c>
      <c r="H55" s="671">
        <f>SUM('Schedule 3B_Income_Eastern:Schedule 3D_Income_The Cape'!H55)</f>
        <v>1112317.9809085999</v>
      </c>
      <c r="I55" s="671">
        <f>SUM('Schedule 3B_Income_Eastern:Schedule 3D_Income_The Cape'!I55)</f>
        <v>140915.45757144995</v>
      </c>
      <c r="J55" s="671">
        <f>SUM('Schedule 3B_Income_Eastern:Schedule 3D_Income_The Cape'!J55)</f>
        <v>908215.49765995611</v>
      </c>
      <c r="K55" s="672">
        <f t="shared" si="89"/>
        <v>4227613.9626858719</v>
      </c>
      <c r="L55" s="673">
        <f>SUM('Schedule 3B_Income_Eastern:Schedule 3D_Income_The Cape'!L55)</f>
        <v>0</v>
      </c>
      <c r="M55" s="671">
        <f>SUM('Schedule 3B_Income_Eastern:Schedule 3D_Income_The Cape'!M55)</f>
        <v>72765.700000000172</v>
      </c>
      <c r="N55" s="671">
        <f>SUM('Schedule 3B_Income_Eastern:Schedule 3D_Income_The Cape'!N55)</f>
        <v>0</v>
      </c>
      <c r="O55" s="671">
        <f>SUM('Schedule 3B_Income_Eastern:Schedule 3D_Income_The Cape'!O55)</f>
        <v>333663.88711948547</v>
      </c>
      <c r="P55" s="671">
        <f>SUM('Schedule 3B_Income_Eastern:Schedule 3D_Income_The Cape'!P55)</f>
        <v>0</v>
      </c>
      <c r="Q55" s="671">
        <f>SUM('Schedule 3B_Income_Eastern:Schedule 3D_Income_The Cape'!Q55)</f>
        <v>247208.49916671586</v>
      </c>
      <c r="R55" s="671">
        <f>SUM('Schedule 3B_Income_Eastern:Schedule 3D_Income_The Cape'!R55)</f>
        <v>0</v>
      </c>
      <c r="S55" s="671">
        <f>SUM('Schedule 3B_Income_Eastern:Schedule 3D_Income_The Cape'!S55)</f>
        <v>206645.28677175834</v>
      </c>
      <c r="T55" s="674">
        <f t="shared" si="90"/>
        <v>860283.37305795983</v>
      </c>
      <c r="U55" s="675">
        <f t="shared" si="91"/>
        <v>5087897.3357438315</v>
      </c>
      <c r="V55" s="343">
        <v>33</v>
      </c>
      <c r="W55" s="671">
        <f>SUM('Schedule 3B_Income_Eastern:Schedule 3D_Income_The Cape'!W55)</f>
        <v>9165.299999999992</v>
      </c>
      <c r="X55" s="671">
        <f>SUM('Schedule 3B_Income_Eastern:Schedule 3D_Income_The Cape'!X55)</f>
        <v>162251.83999999976</v>
      </c>
      <c r="Y55" s="671">
        <f>SUM('Schedule 3B_Income_Eastern:Schedule 3D_Income_The Cape'!Y55)</f>
        <v>7314.0027427284358</v>
      </c>
      <c r="Z55" s="671">
        <f>SUM('Schedule 3B_Income_Eastern:Schedule 3D_Income_The Cape'!Z55)</f>
        <v>136231.97698808613</v>
      </c>
      <c r="AA55" s="671">
        <f>SUM('Schedule 3B_Income_Eastern:Schedule 3D_Income_The Cape'!AA55)</f>
        <v>12007.329804672254</v>
      </c>
      <c r="AB55" s="671">
        <f>SUM('Schedule 3B_Income_Eastern:Schedule 3D_Income_The Cape'!AB55)</f>
        <v>135368.40644727444</v>
      </c>
      <c r="AC55" s="671">
        <f>SUM('Schedule 3B_Income_Eastern:Schedule 3D_Income_The Cape'!AC55)</f>
        <v>5197.8673248893101</v>
      </c>
      <c r="AD55" s="671">
        <f>SUM('Schedule 3B_Income_Eastern:Schedule 3D_Income_The Cape'!AD55)</f>
        <v>142862.08766530707</v>
      </c>
      <c r="AE55" s="672">
        <f t="shared" si="92"/>
        <v>610398.81097295741</v>
      </c>
      <c r="AF55" s="673">
        <f>SUM('Schedule 3B_Income_Eastern:Schedule 3D_Income_The Cape'!AF55)</f>
        <v>0</v>
      </c>
      <c r="AG55" s="671">
        <f>SUM('Schedule 3B_Income_Eastern:Schedule 3D_Income_The Cape'!AG55)</f>
        <v>34691.010000000075</v>
      </c>
      <c r="AH55" s="671">
        <f>SUM('Schedule 3B_Income_Eastern:Schedule 3D_Income_The Cape'!AH55)</f>
        <v>0</v>
      </c>
      <c r="AI55" s="671">
        <f>SUM('Schedule 3B_Income_Eastern:Schedule 3D_Income_The Cape'!AI55)</f>
        <v>27079.311892461999</v>
      </c>
      <c r="AJ55" s="671">
        <f>SUM('Schedule 3B_Income_Eastern:Schedule 3D_Income_The Cape'!AJ55)</f>
        <v>0</v>
      </c>
      <c r="AK55" s="671">
        <f>SUM('Schedule 3B_Income_Eastern:Schedule 3D_Income_The Cape'!AK55)</f>
        <v>23949.576110986156</v>
      </c>
      <c r="AL55" s="671">
        <f>SUM('Schedule 3B_Income_Eastern:Schedule 3D_Income_The Cape'!AL55)</f>
        <v>0</v>
      </c>
      <c r="AM55" s="671">
        <f>SUM('Schedule 3B_Income_Eastern:Schedule 3D_Income_The Cape'!AM55)</f>
        <v>32046.131385627763</v>
      </c>
      <c r="AN55" s="674">
        <f t="shared" si="93"/>
        <v>117766.02938907599</v>
      </c>
      <c r="AO55" s="675">
        <f t="shared" si="94"/>
        <v>728164.84036203334</v>
      </c>
      <c r="AP55" s="343">
        <v>33</v>
      </c>
      <c r="AQ55" s="671">
        <f>SUM('Schedule 3B_Income_Eastern:Schedule 3D_Income_The Cape'!AQ55)</f>
        <v>789839.5199999992</v>
      </c>
      <c r="AR55" s="671">
        <f>SUM('Schedule 3B_Income_Eastern:Schedule 3D_Income_The Cape'!AR55)</f>
        <v>5664452.269999993</v>
      </c>
      <c r="AS55" s="671">
        <f>SUM('Schedule 3B_Income_Eastern:Schedule 3D_Income_The Cape'!AS55)</f>
        <v>797260.94257021812</v>
      </c>
      <c r="AT55" s="671">
        <f>SUM('Schedule 3B_Income_Eastern:Schedule 3D_Income_The Cape'!AT55)</f>
        <v>5367392.2999387728</v>
      </c>
      <c r="AU55" s="671">
        <f>SUM('Schedule 3B_Income_Eastern:Schedule 3D_Income_The Cape'!AU55)</f>
        <v>796469.2940513764</v>
      </c>
      <c r="AV55" s="671">
        <f>SUM('Schedule 3B_Income_Eastern:Schedule 3D_Income_The Cape'!AV55)</f>
        <v>5741549.086700419</v>
      </c>
      <c r="AW55" s="671">
        <f>SUM('Schedule 3B_Income_Eastern:Schedule 3D_Income_The Cape'!AW55)</f>
        <v>845201.62061919889</v>
      </c>
      <c r="AX55" s="671">
        <f>SUM('Schedule 3B_Income_Eastern:Schedule 3D_Income_The Cape'!AX55)</f>
        <v>6120956.5303308591</v>
      </c>
      <c r="AY55" s="672">
        <f t="shared" si="95"/>
        <v>26123121.56421084</v>
      </c>
      <c r="AZ55" s="673">
        <f>SUM('Schedule 3B_Income_Eastern:Schedule 3D_Income_The Cape'!AZ55)</f>
        <v>0</v>
      </c>
      <c r="BA55" s="671">
        <f>SUM('Schedule 3B_Income_Eastern:Schedule 3D_Income_The Cape'!BA55)</f>
        <v>1808609.3299999959</v>
      </c>
      <c r="BB55" s="671">
        <f>SUM('Schedule 3B_Income_Eastern:Schedule 3D_Income_The Cape'!BB55)</f>
        <v>0</v>
      </c>
      <c r="BC55" s="671">
        <f>SUM('Schedule 3B_Income_Eastern:Schedule 3D_Income_The Cape'!BC55)</f>
        <v>1701008.4607824432</v>
      </c>
      <c r="BD55" s="671">
        <f>SUM('Schedule 3B_Income_Eastern:Schedule 3D_Income_The Cape'!BD55)</f>
        <v>0</v>
      </c>
      <c r="BE55" s="671">
        <f>SUM('Schedule 3B_Income_Eastern:Schedule 3D_Income_The Cape'!BE55)</f>
        <v>1749049.270814755</v>
      </c>
      <c r="BF55" s="671">
        <f>SUM('Schedule 3B_Income_Eastern:Schedule 3D_Income_The Cape'!BF55)</f>
        <v>0</v>
      </c>
      <c r="BG55" s="671">
        <f>SUM('Schedule 3B_Income_Eastern:Schedule 3D_Income_The Cape'!BG55)</f>
        <v>1920851.505767775</v>
      </c>
      <c r="BH55" s="674">
        <f t="shared" si="96"/>
        <v>7179518.5673649693</v>
      </c>
      <c r="BI55" s="675">
        <f t="shared" si="97"/>
        <v>33302640.131575808</v>
      </c>
      <c r="BJ55" s="343">
        <v>33</v>
      </c>
      <c r="BK55" s="671">
        <f>SUM('Schedule 3B_Income_Eastern:Schedule 3D_Income_The Cape'!BK55)</f>
        <v>4684.4299999999948</v>
      </c>
      <c r="BL55" s="671">
        <f>SUM('Schedule 3B_Income_Eastern:Schedule 3D_Income_The Cape'!BL55)</f>
        <v>49537.099999999948</v>
      </c>
      <c r="BM55" s="671">
        <f>SUM('Schedule 3B_Income_Eastern:Schedule 3D_Income_The Cape'!BM55)</f>
        <v>4525.1219035456543</v>
      </c>
      <c r="BN55" s="671">
        <f>SUM('Schedule 3B_Income_Eastern:Schedule 3D_Income_The Cape'!BN55)</f>
        <v>33160.258126370551</v>
      </c>
      <c r="BO55" s="671">
        <f>SUM('Schedule 3B_Income_Eastern:Schedule 3D_Income_The Cape'!BO55)</f>
        <v>3004.8740852157121</v>
      </c>
      <c r="BP55" s="671">
        <f>SUM('Schedule 3B_Income_Eastern:Schedule 3D_Income_The Cape'!BP55)</f>
        <v>32998.620191069342</v>
      </c>
      <c r="BQ55" s="671">
        <f>SUM('Schedule 3B_Income_Eastern:Schedule 3D_Income_The Cape'!BQ55)</f>
        <v>4551.7622866094871</v>
      </c>
      <c r="BR55" s="671">
        <f>SUM('Schedule 3B_Income_Eastern:Schedule 3D_Income_The Cape'!BR55)</f>
        <v>31524.860467294675</v>
      </c>
      <c r="BS55" s="672">
        <f t="shared" si="98"/>
        <v>163987.02706010535</v>
      </c>
      <c r="BT55" s="673">
        <f>SUM('Schedule 3B_Income_Eastern:Schedule 3D_Income_The Cape'!BT55)</f>
        <v>0</v>
      </c>
      <c r="BU55" s="671">
        <f>SUM('Schedule 3B_Income_Eastern:Schedule 3D_Income_The Cape'!BU55)</f>
        <v>31996.749999999993</v>
      </c>
      <c r="BV55" s="671">
        <f>SUM('Schedule 3B_Income_Eastern:Schedule 3D_Income_The Cape'!BV55)</f>
        <v>0</v>
      </c>
      <c r="BW55" s="671">
        <f>SUM('Schedule 3B_Income_Eastern:Schedule 3D_Income_The Cape'!BW55)</f>
        <v>26049.280666956911</v>
      </c>
      <c r="BX55" s="671">
        <f>SUM('Schedule 3B_Income_Eastern:Schedule 3D_Income_The Cape'!BX55)</f>
        <v>0</v>
      </c>
      <c r="BY55" s="671">
        <f>SUM('Schedule 3B_Income_Eastern:Schedule 3D_Income_The Cape'!BY55)</f>
        <v>13822.061060200078</v>
      </c>
      <c r="BZ55" s="671">
        <f>SUM('Schedule 3B_Income_Eastern:Schedule 3D_Income_The Cape'!BZ55)</f>
        <v>0</v>
      </c>
      <c r="CA55" s="671">
        <f>SUM('Schedule 3B_Income_Eastern:Schedule 3D_Income_The Cape'!CA55)</f>
        <v>25172.108785480392</v>
      </c>
      <c r="CB55" s="674">
        <f t="shared" si="99"/>
        <v>97040.20051263737</v>
      </c>
      <c r="CC55" s="675">
        <f t="shared" si="100"/>
        <v>261027.22757274273</v>
      </c>
      <c r="CD55" s="343">
        <v>33</v>
      </c>
      <c r="CE55" s="462">
        <f t="shared" si="101"/>
        <v>7209998.2499999907</v>
      </c>
      <c r="CF55" s="462">
        <f t="shared" si="102"/>
        <v>7739246.349371464</v>
      </c>
      <c r="CG55" s="462">
        <f t="shared" si="103"/>
        <v>7976451.081632752</v>
      </c>
      <c r="CH55" s="462">
        <f t="shared" si="104"/>
        <v>8199425.6839255635</v>
      </c>
      <c r="CI55" s="464">
        <f t="shared" si="105"/>
        <v>31125121.364929773</v>
      </c>
      <c r="CJ55" s="462">
        <f t="shared" si="106"/>
        <v>1948062.7899999961</v>
      </c>
      <c r="CK55" s="462">
        <f t="shared" si="107"/>
        <v>2087800.9404613476</v>
      </c>
      <c r="CL55" s="462">
        <f t="shared" si="108"/>
        <v>2034029.4071526569</v>
      </c>
      <c r="CM55" s="462">
        <f t="shared" si="109"/>
        <v>2184715.0327106412</v>
      </c>
      <c r="CN55" s="464">
        <f t="shared" si="110"/>
        <v>8254608.1703246422</v>
      </c>
      <c r="CO55" s="462">
        <f t="shared" si="111"/>
        <v>9158061.0399999879</v>
      </c>
      <c r="CP55" s="462">
        <f t="shared" si="112"/>
        <v>9827047.2898328118</v>
      </c>
      <c r="CQ55" s="462">
        <f t="shared" si="113"/>
        <v>10010480.488785407</v>
      </c>
      <c r="CR55" s="462">
        <f t="shared" si="114"/>
        <v>10384140.716636205</v>
      </c>
      <c r="CS55" s="464">
        <f t="shared" si="115"/>
        <v>39379729.535254411</v>
      </c>
    </row>
    <row r="56" spans="1:101" ht="15.75" customHeight="1" x14ac:dyDescent="0.25">
      <c r="A56" s="94" t="s">
        <v>285</v>
      </c>
      <c r="B56" s="343">
        <v>34</v>
      </c>
      <c r="C56" s="671">
        <f>SUM('Schedule 3B_Income_Eastern:Schedule 3D_Income_The Cape'!C56)</f>
        <v>23545.409999999974</v>
      </c>
      <c r="D56" s="671">
        <f>SUM('Schedule 3B_Income_Eastern:Schedule 3D_Income_The Cape'!D56)</f>
        <v>124426.64999999988</v>
      </c>
      <c r="E56" s="671">
        <f>SUM('Schedule 3B_Income_Eastern:Schedule 3D_Income_The Cape'!E56)</f>
        <v>70195.820389867542</v>
      </c>
      <c r="F56" s="671">
        <f>SUM('Schedule 3B_Income_Eastern:Schedule 3D_Income_The Cape'!F56)</f>
        <v>242592.51882558389</v>
      </c>
      <c r="G56" s="671">
        <f>SUM('Schedule 3B_Income_Eastern:Schedule 3D_Income_The Cape'!G56)</f>
        <v>66859.081756884203</v>
      </c>
      <c r="H56" s="671">
        <f>SUM('Schedule 3B_Income_Eastern:Schedule 3D_Income_The Cape'!H56)</f>
        <v>225196.36643605394</v>
      </c>
      <c r="I56" s="671">
        <f>SUM('Schedule 3B_Income_Eastern:Schedule 3D_Income_The Cape'!I56)</f>
        <v>60892.551952423855</v>
      </c>
      <c r="J56" s="671">
        <f>SUM('Schedule 3B_Income_Eastern:Schedule 3D_Income_The Cape'!J56)</f>
        <v>189844.67510552186</v>
      </c>
      <c r="K56" s="672">
        <f t="shared" si="89"/>
        <v>1003553.0744663351</v>
      </c>
      <c r="L56" s="673">
        <f>SUM('Schedule 3B_Income_Eastern:Schedule 3D_Income_The Cape'!L56)</f>
        <v>0</v>
      </c>
      <c r="M56" s="671">
        <f>SUM('Schedule 3B_Income_Eastern:Schedule 3D_Income_The Cape'!M56)</f>
        <v>56851.83</v>
      </c>
      <c r="N56" s="671">
        <f>SUM('Schedule 3B_Income_Eastern:Schedule 3D_Income_The Cape'!N56)</f>
        <v>0</v>
      </c>
      <c r="O56" s="671">
        <f>SUM('Schedule 3B_Income_Eastern:Schedule 3D_Income_The Cape'!O56)</f>
        <v>201946.88684816688</v>
      </c>
      <c r="P56" s="671">
        <f>SUM('Schedule 3B_Income_Eastern:Schedule 3D_Income_The Cape'!P56)</f>
        <v>0</v>
      </c>
      <c r="Q56" s="671">
        <f>SUM('Schedule 3B_Income_Eastern:Schedule 3D_Income_The Cape'!Q56)</f>
        <v>178280.97072385886</v>
      </c>
      <c r="R56" s="671">
        <f>SUM('Schedule 3B_Income_Eastern:Schedule 3D_Income_The Cape'!R56)</f>
        <v>0</v>
      </c>
      <c r="S56" s="671">
        <f>SUM('Schedule 3B_Income_Eastern:Schedule 3D_Income_The Cape'!S56)</f>
        <v>131680.53829837864</v>
      </c>
      <c r="T56" s="674">
        <f t="shared" si="90"/>
        <v>568760.22587040439</v>
      </c>
      <c r="U56" s="675">
        <f t="shared" si="91"/>
        <v>1572313.3003367395</v>
      </c>
      <c r="V56" s="343">
        <v>34</v>
      </c>
      <c r="W56" s="671">
        <f>SUM('Schedule 3B_Income_Eastern:Schedule 3D_Income_The Cape'!W56)</f>
        <v>8854.7699999999895</v>
      </c>
      <c r="X56" s="671">
        <f>SUM('Schedule 3B_Income_Eastern:Schedule 3D_Income_The Cape'!X56)</f>
        <v>40517.369999999959</v>
      </c>
      <c r="Y56" s="671">
        <f>SUM('Schedule 3B_Income_Eastern:Schedule 3D_Income_The Cape'!Y56)</f>
        <v>4492.2684774173413</v>
      </c>
      <c r="Z56" s="671">
        <f>SUM('Schedule 3B_Income_Eastern:Schedule 3D_Income_The Cape'!Z56)</f>
        <v>27164.322838658518</v>
      </c>
      <c r="AA56" s="671">
        <f>SUM('Schedule 3B_Income_Eastern:Schedule 3D_Income_The Cape'!AA56)</f>
        <v>4012.0329687660806</v>
      </c>
      <c r="AB56" s="671">
        <f>SUM('Schedule 3B_Income_Eastern:Schedule 3D_Income_The Cape'!AB56)</f>
        <v>25480.71219989597</v>
      </c>
      <c r="AC56" s="671">
        <f>SUM('Schedule 3B_Income_Eastern:Schedule 3D_Income_The Cape'!AC56)</f>
        <v>3553.2811060879758</v>
      </c>
      <c r="AD56" s="671">
        <f>SUM('Schedule 3B_Income_Eastern:Schedule 3D_Income_The Cape'!AD56)</f>
        <v>31516.485161947927</v>
      </c>
      <c r="AE56" s="672">
        <f t="shared" si="92"/>
        <v>145591.24275277375</v>
      </c>
      <c r="AF56" s="673">
        <f>SUM('Schedule 3B_Income_Eastern:Schedule 3D_Income_The Cape'!AF56)</f>
        <v>0</v>
      </c>
      <c r="AG56" s="671">
        <f>SUM('Schedule 3B_Income_Eastern:Schedule 3D_Income_The Cape'!AG56)</f>
        <v>26359.29</v>
      </c>
      <c r="AH56" s="671">
        <f>SUM('Schedule 3B_Income_Eastern:Schedule 3D_Income_The Cape'!AH56)</f>
        <v>0</v>
      </c>
      <c r="AI56" s="671">
        <f>SUM('Schedule 3B_Income_Eastern:Schedule 3D_Income_The Cape'!AI56)</f>
        <v>10827.510215138653</v>
      </c>
      <c r="AJ56" s="671">
        <f>SUM('Schedule 3B_Income_Eastern:Schedule 3D_Income_The Cape'!AJ56)</f>
        <v>0</v>
      </c>
      <c r="AK56" s="671">
        <f>SUM('Schedule 3B_Income_Eastern:Schedule 3D_Income_The Cape'!AK56)</f>
        <v>8271.209527104269</v>
      </c>
      <c r="AL56" s="671">
        <f>SUM('Schedule 3B_Income_Eastern:Schedule 3D_Income_The Cape'!AL56)</f>
        <v>0</v>
      </c>
      <c r="AM56" s="671">
        <f>SUM('Schedule 3B_Income_Eastern:Schedule 3D_Income_The Cape'!AM56)</f>
        <v>11217.235746901099</v>
      </c>
      <c r="AN56" s="674">
        <f t="shared" si="93"/>
        <v>56675.245489144021</v>
      </c>
      <c r="AO56" s="675">
        <f t="shared" si="94"/>
        <v>202266.48824191777</v>
      </c>
      <c r="AP56" s="343">
        <v>34</v>
      </c>
      <c r="AQ56" s="671">
        <f>SUM('Schedule 3B_Income_Eastern:Schedule 3D_Income_The Cape'!AQ56)</f>
        <v>325249.03999999969</v>
      </c>
      <c r="AR56" s="671">
        <f>SUM('Schedule 3B_Income_Eastern:Schedule 3D_Income_The Cape'!AR56)</f>
        <v>1056039.6999999988</v>
      </c>
      <c r="AS56" s="671">
        <f>SUM('Schedule 3B_Income_Eastern:Schedule 3D_Income_The Cape'!AS56)</f>
        <v>278628.15681171051</v>
      </c>
      <c r="AT56" s="671">
        <f>SUM('Schedule 3B_Income_Eastern:Schedule 3D_Income_The Cape'!AT56)</f>
        <v>1022950.8287002387</v>
      </c>
      <c r="AU56" s="671">
        <f>SUM('Schedule 3B_Income_Eastern:Schedule 3D_Income_The Cape'!AU56)</f>
        <v>341366.319237313</v>
      </c>
      <c r="AV56" s="671">
        <f>SUM('Schedule 3B_Income_Eastern:Schedule 3D_Income_The Cape'!AV56)</f>
        <v>1115387.6530643424</v>
      </c>
      <c r="AW56" s="671">
        <f>SUM('Schedule 3B_Income_Eastern:Schedule 3D_Income_The Cape'!AW56)</f>
        <v>448276.19363620062</v>
      </c>
      <c r="AX56" s="671">
        <f>SUM('Schedule 3B_Income_Eastern:Schedule 3D_Income_The Cape'!AX56)</f>
        <v>1192032.3253912986</v>
      </c>
      <c r="AY56" s="672">
        <f t="shared" si="95"/>
        <v>5779930.2168411016</v>
      </c>
      <c r="AZ56" s="673">
        <f>SUM('Schedule 3B_Income_Eastern:Schedule 3D_Income_The Cape'!AZ56)</f>
        <v>0</v>
      </c>
      <c r="BA56" s="671">
        <f>SUM('Schedule 3B_Income_Eastern:Schedule 3D_Income_The Cape'!BA56)</f>
        <v>611358.25000000035</v>
      </c>
      <c r="BB56" s="671">
        <f>SUM('Schedule 3B_Income_Eastern:Schedule 3D_Income_The Cape'!BB56)</f>
        <v>0</v>
      </c>
      <c r="BC56" s="671">
        <f>SUM('Schedule 3B_Income_Eastern:Schedule 3D_Income_The Cape'!BC56)</f>
        <v>582758.87961602793</v>
      </c>
      <c r="BD56" s="671">
        <f>SUM('Schedule 3B_Income_Eastern:Schedule 3D_Income_The Cape'!BD56)</f>
        <v>0</v>
      </c>
      <c r="BE56" s="671">
        <f>SUM('Schedule 3B_Income_Eastern:Schedule 3D_Income_The Cape'!BE56)</f>
        <v>590270.26021375682</v>
      </c>
      <c r="BF56" s="671">
        <f>SUM('Schedule 3B_Income_Eastern:Schedule 3D_Income_The Cape'!BF56)</f>
        <v>0</v>
      </c>
      <c r="BG56" s="671">
        <f>SUM('Schedule 3B_Income_Eastern:Schedule 3D_Income_The Cape'!BG56)</f>
        <v>636479.89877702959</v>
      </c>
      <c r="BH56" s="674">
        <f t="shared" si="96"/>
        <v>2420867.2886068146</v>
      </c>
      <c r="BI56" s="675">
        <f t="shared" si="97"/>
        <v>8200797.5054479167</v>
      </c>
      <c r="BJ56" s="343">
        <v>34</v>
      </c>
      <c r="BK56" s="671">
        <f>SUM('Schedule 3B_Income_Eastern:Schedule 3D_Income_The Cape'!BK56)</f>
        <v>24241.049999999974</v>
      </c>
      <c r="BL56" s="671">
        <f>SUM('Schedule 3B_Income_Eastern:Schedule 3D_Income_The Cape'!BL56)</f>
        <v>44378.85999999995</v>
      </c>
      <c r="BM56" s="671">
        <f>SUM('Schedule 3B_Income_Eastern:Schedule 3D_Income_The Cape'!BM56)</f>
        <v>12256.948219116921</v>
      </c>
      <c r="BN56" s="671">
        <f>SUM('Schedule 3B_Income_Eastern:Schedule 3D_Income_The Cape'!BN56)</f>
        <v>29430.159132001212</v>
      </c>
      <c r="BO56" s="671">
        <f>SUM('Schedule 3B_Income_Eastern:Schedule 3D_Income_The Cape'!BO56)</f>
        <v>22997.507142980798</v>
      </c>
      <c r="BP56" s="671">
        <f>SUM('Schedule 3B_Income_Eastern:Schedule 3D_Income_The Cape'!BP56)</f>
        <v>24573.779539170006</v>
      </c>
      <c r="BQ56" s="671">
        <f>SUM('Schedule 3B_Income_Eastern:Schedule 3D_Income_The Cape'!BQ56)</f>
        <v>22714.652560198811</v>
      </c>
      <c r="BR56" s="671">
        <f>SUM('Schedule 3B_Income_Eastern:Schedule 3D_Income_The Cape'!BR56)</f>
        <v>31736.686317288892</v>
      </c>
      <c r="BS56" s="672">
        <f t="shared" si="98"/>
        <v>212329.64291075658</v>
      </c>
      <c r="BT56" s="673">
        <f>SUM('Schedule 3B_Income_Eastern:Schedule 3D_Income_The Cape'!BT56)</f>
        <v>0</v>
      </c>
      <c r="BU56" s="671">
        <f>SUM('Schedule 3B_Income_Eastern:Schedule 3D_Income_The Cape'!BU56)</f>
        <v>102176.68000000004</v>
      </c>
      <c r="BV56" s="671">
        <f>SUM('Schedule 3B_Income_Eastern:Schedule 3D_Income_The Cape'!BV56)</f>
        <v>0</v>
      </c>
      <c r="BW56" s="671">
        <f>SUM('Schedule 3B_Income_Eastern:Schedule 3D_Income_The Cape'!BW56)</f>
        <v>79663.29599128892</v>
      </c>
      <c r="BX56" s="671">
        <f>SUM('Schedule 3B_Income_Eastern:Schedule 3D_Income_The Cape'!BX56)</f>
        <v>0</v>
      </c>
      <c r="BY56" s="671">
        <f>SUM('Schedule 3B_Income_Eastern:Schedule 3D_Income_The Cape'!BY56)</f>
        <v>75319.011089469539</v>
      </c>
      <c r="BZ56" s="671">
        <f>SUM('Schedule 3B_Income_Eastern:Schedule 3D_Income_The Cape'!BZ56)</f>
        <v>0</v>
      </c>
      <c r="CA56" s="671">
        <f>SUM('Schedule 3B_Income_Eastern:Schedule 3D_Income_The Cape'!CA56)</f>
        <v>71881.140764932759</v>
      </c>
      <c r="CB56" s="674">
        <f t="shared" si="99"/>
        <v>329040.12784569128</v>
      </c>
      <c r="CC56" s="675">
        <f t="shared" si="100"/>
        <v>541369.77075644792</v>
      </c>
      <c r="CD56" s="343">
        <v>34</v>
      </c>
      <c r="CE56" s="462">
        <f t="shared" si="101"/>
        <v>1647252.8499999982</v>
      </c>
      <c r="CF56" s="462">
        <f t="shared" si="102"/>
        <v>1687711.0233945949</v>
      </c>
      <c r="CG56" s="462">
        <f t="shared" si="103"/>
        <v>1825873.4523454064</v>
      </c>
      <c r="CH56" s="462">
        <f t="shared" si="104"/>
        <v>1980566.8512309685</v>
      </c>
      <c r="CI56" s="464">
        <f t="shared" si="105"/>
        <v>7141404.1769709662</v>
      </c>
      <c r="CJ56" s="462">
        <f t="shared" si="106"/>
        <v>796746.0500000004</v>
      </c>
      <c r="CK56" s="462">
        <f t="shared" si="107"/>
        <v>875196.5726706225</v>
      </c>
      <c r="CL56" s="462">
        <f t="shared" si="108"/>
        <v>852141.45155418944</v>
      </c>
      <c r="CM56" s="462">
        <f t="shared" si="109"/>
        <v>851258.81358724204</v>
      </c>
      <c r="CN56" s="464">
        <f t="shared" si="110"/>
        <v>3375342.8878120547</v>
      </c>
      <c r="CO56" s="462">
        <f t="shared" si="111"/>
        <v>2443998.8999999985</v>
      </c>
      <c r="CP56" s="462">
        <f t="shared" si="112"/>
        <v>2562907.5960652172</v>
      </c>
      <c r="CQ56" s="462">
        <f t="shared" si="113"/>
        <v>2678014.9038995961</v>
      </c>
      <c r="CR56" s="462">
        <f t="shared" si="114"/>
        <v>2831825.6648182101</v>
      </c>
      <c r="CS56" s="464">
        <f t="shared" si="115"/>
        <v>10516747.064783022</v>
      </c>
    </row>
    <row r="57" spans="1:101" ht="15.75" customHeight="1" x14ac:dyDescent="0.25">
      <c r="A57" s="94" t="s">
        <v>240</v>
      </c>
      <c r="B57" s="343">
        <v>35</v>
      </c>
      <c r="C57" s="671">
        <f>SUM('Schedule 3B_Income_Eastern:Schedule 3D_Income_The Cape'!C57)</f>
        <v>23451.37999999999</v>
      </c>
      <c r="D57" s="671">
        <f>SUM('Schedule 3B_Income_Eastern:Schedule 3D_Income_The Cape'!D57)</f>
        <v>55765.919999999925</v>
      </c>
      <c r="E57" s="671">
        <f>SUM('Schedule 3B_Income_Eastern:Schedule 3D_Income_The Cape'!E57)</f>
        <v>39764.926896016259</v>
      </c>
      <c r="F57" s="671">
        <f>SUM('Schedule 3B_Income_Eastern:Schedule 3D_Income_The Cape'!F57)</f>
        <v>76224.029043216084</v>
      </c>
      <c r="G57" s="671">
        <f>SUM('Schedule 3B_Income_Eastern:Schedule 3D_Income_The Cape'!G57)</f>
        <v>39883.537851200759</v>
      </c>
      <c r="H57" s="671">
        <f>SUM('Schedule 3B_Income_Eastern:Schedule 3D_Income_The Cape'!H57)</f>
        <v>92564.218984848951</v>
      </c>
      <c r="I57" s="671">
        <f>SUM('Schedule 3B_Income_Eastern:Schedule 3D_Income_The Cape'!I57)</f>
        <v>35454.547703353877</v>
      </c>
      <c r="J57" s="671">
        <f>SUM('Schedule 3B_Income_Eastern:Schedule 3D_Income_The Cape'!J57)</f>
        <v>63792.23750104435</v>
      </c>
      <c r="K57" s="672">
        <f t="shared" si="89"/>
        <v>426900.79797968018</v>
      </c>
      <c r="L57" s="673">
        <f>SUM('Schedule 3B_Income_Eastern:Schedule 3D_Income_The Cape'!L57)</f>
        <v>0</v>
      </c>
      <c r="M57" s="671">
        <f>SUM('Schedule 3B_Income_Eastern:Schedule 3D_Income_The Cape'!M57)</f>
        <v>46355.580000000075</v>
      </c>
      <c r="N57" s="671">
        <f>SUM('Schedule 3B_Income_Eastern:Schedule 3D_Income_The Cape'!N57)</f>
        <v>0</v>
      </c>
      <c r="O57" s="671">
        <f>SUM('Schedule 3B_Income_Eastern:Schedule 3D_Income_The Cape'!O57)</f>
        <v>131643.34584935845</v>
      </c>
      <c r="P57" s="671">
        <f>SUM('Schedule 3B_Income_Eastern:Schedule 3D_Income_The Cape'!P57)</f>
        <v>0</v>
      </c>
      <c r="Q57" s="671">
        <f>SUM('Schedule 3B_Income_Eastern:Schedule 3D_Income_The Cape'!Q57)</f>
        <v>130472.59506681949</v>
      </c>
      <c r="R57" s="671">
        <f>SUM('Schedule 3B_Income_Eastern:Schedule 3D_Income_The Cape'!R57)</f>
        <v>0</v>
      </c>
      <c r="S57" s="671">
        <f>SUM('Schedule 3B_Income_Eastern:Schedule 3D_Income_The Cape'!S57)</f>
        <v>85087.300458066456</v>
      </c>
      <c r="T57" s="674">
        <f t="shared" si="90"/>
        <v>393558.82137424446</v>
      </c>
      <c r="U57" s="675">
        <f t="shared" si="91"/>
        <v>820459.61935392465</v>
      </c>
      <c r="V57" s="343">
        <v>35</v>
      </c>
      <c r="W57" s="671">
        <f>SUM('Schedule 3B_Income_Eastern:Schedule 3D_Income_The Cape'!W57)</f>
        <v>1573.6999999999985</v>
      </c>
      <c r="X57" s="671">
        <f>SUM('Schedule 3B_Income_Eastern:Schedule 3D_Income_The Cape'!X57)</f>
        <v>13293.839999999989</v>
      </c>
      <c r="Y57" s="671">
        <f>SUM('Schedule 3B_Income_Eastern:Schedule 3D_Income_The Cape'!Y57)</f>
        <v>453.95734106249267</v>
      </c>
      <c r="Z57" s="671">
        <f>SUM('Schedule 3B_Income_Eastern:Schedule 3D_Income_The Cape'!Z57)</f>
        <v>5115.0134205399709</v>
      </c>
      <c r="AA57" s="671">
        <f>SUM('Schedule 3B_Income_Eastern:Schedule 3D_Income_The Cape'!AA57)</f>
        <v>2775.0517213389135</v>
      </c>
      <c r="AB57" s="671">
        <f>SUM('Schedule 3B_Income_Eastern:Schedule 3D_Income_The Cape'!AB57)</f>
        <v>7235.714446821843</v>
      </c>
      <c r="AC57" s="671">
        <f>SUM('Schedule 3B_Income_Eastern:Schedule 3D_Income_The Cape'!AC57)</f>
        <v>4535.1222741858837</v>
      </c>
      <c r="AD57" s="671">
        <f>SUM('Schedule 3B_Income_Eastern:Schedule 3D_Income_The Cape'!AD57)</f>
        <v>7314.3763612898128</v>
      </c>
      <c r="AE57" s="672">
        <f t="shared" si="92"/>
        <v>42296.775565238902</v>
      </c>
      <c r="AF57" s="673">
        <f>SUM('Schedule 3B_Income_Eastern:Schedule 3D_Income_The Cape'!AF57)</f>
        <v>0</v>
      </c>
      <c r="AG57" s="671">
        <f>SUM('Schedule 3B_Income_Eastern:Schedule 3D_Income_The Cape'!AG57)</f>
        <v>19453.939999999981</v>
      </c>
      <c r="AH57" s="671">
        <f>SUM('Schedule 3B_Income_Eastern:Schedule 3D_Income_The Cape'!AH57)</f>
        <v>0</v>
      </c>
      <c r="AI57" s="671">
        <f>SUM('Schedule 3B_Income_Eastern:Schedule 3D_Income_The Cape'!AI57)</f>
        <v>9088.9816855046374</v>
      </c>
      <c r="AJ57" s="671">
        <f>SUM('Schedule 3B_Income_Eastern:Schedule 3D_Income_The Cape'!AJ57)</f>
        <v>0</v>
      </c>
      <c r="AK57" s="671">
        <f>SUM('Schedule 3B_Income_Eastern:Schedule 3D_Income_The Cape'!AK57)</f>
        <v>13136.111207215956</v>
      </c>
      <c r="AL57" s="671">
        <f>SUM('Schedule 3B_Income_Eastern:Schedule 3D_Income_The Cape'!AL57)</f>
        <v>0</v>
      </c>
      <c r="AM57" s="671">
        <f>SUM('Schedule 3B_Income_Eastern:Schedule 3D_Income_The Cape'!AM57)</f>
        <v>11217.044118241251</v>
      </c>
      <c r="AN57" s="674">
        <f t="shared" si="93"/>
        <v>52896.077010961817</v>
      </c>
      <c r="AO57" s="675">
        <f t="shared" si="94"/>
        <v>95192.852576200719</v>
      </c>
      <c r="AP57" s="343">
        <v>35</v>
      </c>
      <c r="AQ57" s="671">
        <f>SUM('Schedule 3B_Income_Eastern:Schedule 3D_Income_The Cape'!AQ57)</f>
        <v>204376.10999999978</v>
      </c>
      <c r="AR57" s="671">
        <f>SUM('Schedule 3B_Income_Eastern:Schedule 3D_Income_The Cape'!AR57)</f>
        <v>778420.64999999932</v>
      </c>
      <c r="AS57" s="671">
        <f>SUM('Schedule 3B_Income_Eastern:Schedule 3D_Income_The Cape'!AS57)</f>
        <v>135832.92537288199</v>
      </c>
      <c r="AT57" s="671">
        <f>SUM('Schedule 3B_Income_Eastern:Schedule 3D_Income_The Cape'!AT57)</f>
        <v>369559.37959855201</v>
      </c>
      <c r="AU57" s="671">
        <f>SUM('Schedule 3B_Income_Eastern:Schedule 3D_Income_The Cape'!AU57)</f>
        <v>209917.95072342761</v>
      </c>
      <c r="AV57" s="671">
        <f>SUM('Schedule 3B_Income_Eastern:Schedule 3D_Income_The Cape'!AV57)</f>
        <v>507175.79977785354</v>
      </c>
      <c r="AW57" s="671">
        <f>SUM('Schedule 3B_Income_Eastern:Schedule 3D_Income_The Cape'!AW57)</f>
        <v>165470.29441793569</v>
      </c>
      <c r="AX57" s="671">
        <f>SUM('Schedule 3B_Income_Eastern:Schedule 3D_Income_The Cape'!AX57)</f>
        <v>504744.11098605371</v>
      </c>
      <c r="AY57" s="672">
        <f t="shared" si="95"/>
        <v>2875497.220876704</v>
      </c>
      <c r="AZ57" s="673">
        <f>SUM('Schedule 3B_Income_Eastern:Schedule 3D_Income_The Cape'!AZ57)</f>
        <v>0</v>
      </c>
      <c r="BA57" s="671">
        <f>SUM('Schedule 3B_Income_Eastern:Schedule 3D_Income_The Cape'!BA57)</f>
        <v>805950.10999999905</v>
      </c>
      <c r="BB57" s="671">
        <f>SUM('Schedule 3B_Income_Eastern:Schedule 3D_Income_The Cape'!BB57)</f>
        <v>0</v>
      </c>
      <c r="BC57" s="671">
        <f>SUM('Schedule 3B_Income_Eastern:Schedule 3D_Income_The Cape'!BC57)</f>
        <v>673873.78222327982</v>
      </c>
      <c r="BD57" s="671">
        <f>SUM('Schedule 3B_Income_Eastern:Schedule 3D_Income_The Cape'!BD57)</f>
        <v>0</v>
      </c>
      <c r="BE57" s="671">
        <f>SUM('Schedule 3B_Income_Eastern:Schedule 3D_Income_The Cape'!BE57)</f>
        <v>775855.53463562881</v>
      </c>
      <c r="BF57" s="671">
        <f>SUM('Schedule 3B_Income_Eastern:Schedule 3D_Income_The Cape'!BF57)</f>
        <v>0</v>
      </c>
      <c r="BG57" s="671">
        <f>SUM('Schedule 3B_Income_Eastern:Schedule 3D_Income_The Cape'!BG57)</f>
        <v>796374.46929295978</v>
      </c>
      <c r="BH57" s="674">
        <f t="shared" si="96"/>
        <v>3052053.8961518672</v>
      </c>
      <c r="BI57" s="675">
        <f t="shared" si="97"/>
        <v>5927551.1170285717</v>
      </c>
      <c r="BJ57" s="343">
        <v>35</v>
      </c>
      <c r="BK57" s="671">
        <f>SUM('Schedule 3B_Income_Eastern:Schedule 3D_Income_The Cape'!BK57)</f>
        <v>3364.4399999999969</v>
      </c>
      <c r="BL57" s="671">
        <f>SUM('Schedule 3B_Income_Eastern:Schedule 3D_Income_The Cape'!BL57)</f>
        <v>14151.709999999985</v>
      </c>
      <c r="BM57" s="671">
        <f>SUM('Schedule 3B_Income_Eastern:Schedule 3D_Income_The Cape'!BM57)</f>
        <v>2515.7523559059941</v>
      </c>
      <c r="BN57" s="671">
        <f>SUM('Schedule 3B_Income_Eastern:Schedule 3D_Income_The Cape'!BN57)</f>
        <v>5480.5915449522636</v>
      </c>
      <c r="BO57" s="671">
        <f>SUM('Schedule 3B_Income_Eastern:Schedule 3D_Income_The Cape'!BO57)</f>
        <v>10933.430210249207</v>
      </c>
      <c r="BP57" s="671">
        <f>SUM('Schedule 3B_Income_Eastern:Schedule 3D_Income_The Cape'!BP57)</f>
        <v>10966.745490830364</v>
      </c>
      <c r="BQ57" s="671">
        <f>SUM('Schedule 3B_Income_Eastern:Schedule 3D_Income_The Cape'!BQ57)</f>
        <v>2375.0978457797323</v>
      </c>
      <c r="BR57" s="671">
        <f>SUM('Schedule 3B_Income_Eastern:Schedule 3D_Income_The Cape'!BR57)</f>
        <v>10335.840659441823</v>
      </c>
      <c r="BS57" s="672">
        <f t="shared" si="98"/>
        <v>60123.608107159365</v>
      </c>
      <c r="BT57" s="673">
        <f>SUM('Schedule 3B_Income_Eastern:Schedule 3D_Income_The Cape'!BT57)</f>
        <v>0</v>
      </c>
      <c r="BU57" s="671">
        <f>SUM('Schedule 3B_Income_Eastern:Schedule 3D_Income_The Cape'!BU57)</f>
        <v>12540.250000000005</v>
      </c>
      <c r="BV57" s="671">
        <f>SUM('Schedule 3B_Income_Eastern:Schedule 3D_Income_The Cape'!BV57)</f>
        <v>0</v>
      </c>
      <c r="BW57" s="671">
        <f>SUM('Schedule 3B_Income_Eastern:Schedule 3D_Income_The Cape'!BW57)</f>
        <v>17983.135867955974</v>
      </c>
      <c r="BX57" s="671">
        <f>SUM('Schedule 3B_Income_Eastern:Schedule 3D_Income_The Cape'!BX57)</f>
        <v>0</v>
      </c>
      <c r="BY57" s="671">
        <f>SUM('Schedule 3B_Income_Eastern:Schedule 3D_Income_The Cape'!BY57)</f>
        <v>24313.855946198386</v>
      </c>
      <c r="BZ57" s="671">
        <f>SUM('Schedule 3B_Income_Eastern:Schedule 3D_Income_The Cape'!BZ57)</f>
        <v>0</v>
      </c>
      <c r="CA57" s="671">
        <f>SUM('Schedule 3B_Income_Eastern:Schedule 3D_Income_The Cape'!CA57)</f>
        <v>25399.995604909847</v>
      </c>
      <c r="CB57" s="674">
        <f t="shared" si="99"/>
        <v>80237.237419064215</v>
      </c>
      <c r="CC57" s="675">
        <f t="shared" si="100"/>
        <v>140360.84552622359</v>
      </c>
      <c r="CD57" s="343">
        <v>35</v>
      </c>
      <c r="CE57" s="462">
        <f t="shared" si="101"/>
        <v>1094397.7499999991</v>
      </c>
      <c r="CF57" s="462">
        <f t="shared" si="102"/>
        <v>634946.57557312702</v>
      </c>
      <c r="CG57" s="462">
        <f t="shared" si="103"/>
        <v>881452.44920657133</v>
      </c>
      <c r="CH57" s="462">
        <f t="shared" si="104"/>
        <v>794021.62774908484</v>
      </c>
      <c r="CI57" s="464">
        <f t="shared" si="105"/>
        <v>3404818.4025287824</v>
      </c>
      <c r="CJ57" s="462">
        <f t="shared" si="106"/>
        <v>884299.87999999907</v>
      </c>
      <c r="CK57" s="462">
        <f t="shared" si="107"/>
        <v>832589.24562609883</v>
      </c>
      <c r="CL57" s="462">
        <f t="shared" si="108"/>
        <v>943778.09685586253</v>
      </c>
      <c r="CM57" s="462">
        <f t="shared" si="109"/>
        <v>918078.80947417731</v>
      </c>
      <c r="CN57" s="464">
        <f t="shared" si="110"/>
        <v>3578746.0319561376</v>
      </c>
      <c r="CO57" s="462">
        <f t="shared" si="111"/>
        <v>1978697.629999998</v>
      </c>
      <c r="CP57" s="462">
        <f t="shared" si="112"/>
        <v>1467535.8211992257</v>
      </c>
      <c r="CQ57" s="462">
        <f t="shared" si="113"/>
        <v>1825230.5460624339</v>
      </c>
      <c r="CR57" s="462">
        <f t="shared" si="114"/>
        <v>1712100.4372232624</v>
      </c>
      <c r="CS57" s="464">
        <f t="shared" si="115"/>
        <v>6983564.4344849214</v>
      </c>
    </row>
    <row r="58" spans="1:101" ht="15.75" customHeight="1" x14ac:dyDescent="0.25">
      <c r="A58" s="94" t="s">
        <v>230</v>
      </c>
      <c r="B58" s="343">
        <v>36</v>
      </c>
      <c r="C58" s="671">
        <f>SUM('Schedule 3B_Income_Eastern:Schedule 3D_Income_The Cape'!C58)</f>
        <v>0</v>
      </c>
      <c r="D58" s="671">
        <f>SUM('Schedule 3B_Income_Eastern:Schedule 3D_Income_The Cape'!D58)</f>
        <v>0</v>
      </c>
      <c r="E58" s="671">
        <f>SUM('Schedule 3B_Income_Eastern:Schedule 3D_Income_The Cape'!E58)</f>
        <v>18232.881420906091</v>
      </c>
      <c r="F58" s="671">
        <f>SUM('Schedule 3B_Income_Eastern:Schedule 3D_Income_The Cape'!F58)</f>
        <v>0</v>
      </c>
      <c r="G58" s="671">
        <f>SUM('Schedule 3B_Income_Eastern:Schedule 3D_Income_The Cape'!G58)</f>
        <v>30720.183445727376</v>
      </c>
      <c r="H58" s="671">
        <f>SUM('Schedule 3B_Income_Eastern:Schedule 3D_Income_The Cape'!H58)</f>
        <v>0</v>
      </c>
      <c r="I58" s="671">
        <f>SUM('Schedule 3B_Income_Eastern:Schedule 3D_Income_The Cape'!I58)</f>
        <v>5679.2312129813854</v>
      </c>
      <c r="J58" s="671">
        <f>SUM('Schedule 3B_Income_Eastern:Schedule 3D_Income_The Cape'!J58)</f>
        <v>0</v>
      </c>
      <c r="K58" s="672">
        <f t="shared" si="89"/>
        <v>54632.296079614855</v>
      </c>
      <c r="L58" s="673">
        <f>SUM('Schedule 3B_Income_Eastern:Schedule 3D_Income_The Cape'!L58)</f>
        <v>0</v>
      </c>
      <c r="M58" s="671">
        <f>SUM('Schedule 3B_Income_Eastern:Schedule 3D_Income_The Cape'!M58)</f>
        <v>0</v>
      </c>
      <c r="N58" s="671">
        <f>SUM('Schedule 3B_Income_Eastern:Schedule 3D_Income_The Cape'!N58)</f>
        <v>0</v>
      </c>
      <c r="O58" s="671">
        <f>SUM('Schedule 3B_Income_Eastern:Schedule 3D_Income_The Cape'!O58)</f>
        <v>769.34400157987614</v>
      </c>
      <c r="P58" s="671">
        <f>SUM('Schedule 3B_Income_Eastern:Schedule 3D_Income_The Cape'!P58)</f>
        <v>0</v>
      </c>
      <c r="Q58" s="671">
        <f>SUM('Schedule 3B_Income_Eastern:Schedule 3D_Income_The Cape'!Q58)</f>
        <v>330.52700195262878</v>
      </c>
      <c r="R58" s="671">
        <f>SUM('Schedule 3B_Income_Eastern:Schedule 3D_Income_The Cape'!R58)</f>
        <v>0</v>
      </c>
      <c r="S58" s="671">
        <f>SUM('Schedule 3B_Income_Eastern:Schedule 3D_Income_The Cape'!S58)</f>
        <v>553.90768413653086</v>
      </c>
      <c r="T58" s="674">
        <f t="shared" si="90"/>
        <v>1653.7786876690357</v>
      </c>
      <c r="U58" s="675">
        <f t="shared" si="91"/>
        <v>56286.074767283892</v>
      </c>
      <c r="V58" s="343">
        <v>36</v>
      </c>
      <c r="W58" s="671">
        <f>SUM('Schedule 3B_Income_Eastern:Schedule 3D_Income_The Cape'!W58)</f>
        <v>0</v>
      </c>
      <c r="X58" s="671">
        <f>SUM('Schedule 3B_Income_Eastern:Schedule 3D_Income_The Cape'!X58)</f>
        <v>0</v>
      </c>
      <c r="Y58" s="671">
        <f>SUM('Schedule 3B_Income_Eastern:Schedule 3D_Income_The Cape'!Y58)</f>
        <v>0</v>
      </c>
      <c r="Z58" s="671">
        <f>SUM('Schedule 3B_Income_Eastern:Schedule 3D_Income_The Cape'!Z58)</f>
        <v>0</v>
      </c>
      <c r="AA58" s="671">
        <f>SUM('Schedule 3B_Income_Eastern:Schedule 3D_Income_The Cape'!AA58)</f>
        <v>0</v>
      </c>
      <c r="AB58" s="671">
        <f>SUM('Schedule 3B_Income_Eastern:Schedule 3D_Income_The Cape'!AB58)</f>
        <v>0</v>
      </c>
      <c r="AC58" s="671">
        <f>SUM('Schedule 3B_Income_Eastern:Schedule 3D_Income_The Cape'!AC58)</f>
        <v>0</v>
      </c>
      <c r="AD58" s="671">
        <f>SUM('Schedule 3B_Income_Eastern:Schedule 3D_Income_The Cape'!AD58)</f>
        <v>0</v>
      </c>
      <c r="AE58" s="672">
        <f t="shared" si="92"/>
        <v>0</v>
      </c>
      <c r="AF58" s="673">
        <f>SUM('Schedule 3B_Income_Eastern:Schedule 3D_Income_The Cape'!AF58)</f>
        <v>0</v>
      </c>
      <c r="AG58" s="671">
        <f>SUM('Schedule 3B_Income_Eastern:Schedule 3D_Income_The Cape'!AG58)</f>
        <v>0</v>
      </c>
      <c r="AH58" s="671">
        <f>SUM('Schedule 3B_Income_Eastern:Schedule 3D_Income_The Cape'!AH58)</f>
        <v>0</v>
      </c>
      <c r="AI58" s="671">
        <f>SUM('Schedule 3B_Income_Eastern:Schedule 3D_Income_The Cape'!AI58)</f>
        <v>155.09353897211631</v>
      </c>
      <c r="AJ58" s="671">
        <f>SUM('Schedule 3B_Income_Eastern:Schedule 3D_Income_The Cape'!AJ58)</f>
        <v>0</v>
      </c>
      <c r="AK58" s="671">
        <f>SUM('Schedule 3B_Income_Eastern:Schedule 3D_Income_The Cape'!AK58)</f>
        <v>0</v>
      </c>
      <c r="AL58" s="671">
        <f>SUM('Schedule 3B_Income_Eastern:Schedule 3D_Income_The Cape'!AL58)</f>
        <v>0</v>
      </c>
      <c r="AM58" s="671">
        <f>SUM('Schedule 3B_Income_Eastern:Schedule 3D_Income_The Cape'!AM58)</f>
        <v>0</v>
      </c>
      <c r="AN58" s="674">
        <f t="shared" si="93"/>
        <v>155.09353897211631</v>
      </c>
      <c r="AO58" s="675">
        <f t="shared" si="94"/>
        <v>155.09353897211631</v>
      </c>
      <c r="AP58" s="343">
        <v>36</v>
      </c>
      <c r="AQ58" s="671">
        <f>SUM('Schedule 3B_Income_Eastern:Schedule 3D_Income_The Cape'!AQ58)</f>
        <v>39170.369999999959</v>
      </c>
      <c r="AR58" s="671">
        <f>SUM('Schedule 3B_Income_Eastern:Schedule 3D_Income_The Cape'!AR58)</f>
        <v>0</v>
      </c>
      <c r="AS58" s="671">
        <f>SUM('Schedule 3B_Income_Eastern:Schedule 3D_Income_The Cape'!AS58)</f>
        <v>30522.063001487717</v>
      </c>
      <c r="AT58" s="671">
        <f>SUM('Schedule 3B_Income_Eastern:Schedule 3D_Income_The Cape'!AT58)</f>
        <v>0</v>
      </c>
      <c r="AU58" s="671">
        <f>SUM('Schedule 3B_Income_Eastern:Schedule 3D_Income_The Cape'!AU58)</f>
        <v>60311.96321761985</v>
      </c>
      <c r="AV58" s="671">
        <f>SUM('Schedule 3B_Income_Eastern:Schedule 3D_Income_The Cape'!AV58)</f>
        <v>0</v>
      </c>
      <c r="AW58" s="671">
        <f>SUM('Schedule 3B_Income_Eastern:Schedule 3D_Income_The Cape'!AW58)</f>
        <v>46033.091238864188</v>
      </c>
      <c r="AX58" s="671">
        <f>SUM('Schedule 3B_Income_Eastern:Schedule 3D_Income_The Cape'!AX58)</f>
        <v>11085.717038038263</v>
      </c>
      <c r="AY58" s="672">
        <f t="shared" si="95"/>
        <v>187123.20449601</v>
      </c>
      <c r="AZ58" s="673">
        <f>SUM('Schedule 3B_Income_Eastern:Schedule 3D_Income_The Cape'!AZ58)</f>
        <v>0</v>
      </c>
      <c r="BA58" s="671">
        <f>SUM('Schedule 3B_Income_Eastern:Schedule 3D_Income_The Cape'!BA58)</f>
        <v>14287</v>
      </c>
      <c r="BB58" s="671">
        <f>SUM('Schedule 3B_Income_Eastern:Schedule 3D_Income_The Cape'!BB58)</f>
        <v>0</v>
      </c>
      <c r="BC58" s="671">
        <f>SUM('Schedule 3B_Income_Eastern:Schedule 3D_Income_The Cape'!BC58)</f>
        <v>2198.1257187996457</v>
      </c>
      <c r="BD58" s="671">
        <f>SUM('Schedule 3B_Income_Eastern:Schedule 3D_Income_The Cape'!BD58)</f>
        <v>0</v>
      </c>
      <c r="BE58" s="671">
        <f>SUM('Schedule 3B_Income_Eastern:Schedule 3D_Income_The Cape'!BE58)</f>
        <v>6195.5557247534716</v>
      </c>
      <c r="BF58" s="671">
        <f>SUM('Schedule 3B_Income_Eastern:Schedule 3D_Income_The Cape'!BF58)</f>
        <v>0</v>
      </c>
      <c r="BG58" s="671">
        <f>SUM('Schedule 3B_Income_Eastern:Schedule 3D_Income_The Cape'!BG58)</f>
        <v>2686.8758682576199</v>
      </c>
      <c r="BH58" s="674">
        <f t="shared" si="96"/>
        <v>25367.557311810735</v>
      </c>
      <c r="BI58" s="675">
        <f t="shared" si="97"/>
        <v>212490.76180782073</v>
      </c>
      <c r="BJ58" s="343">
        <v>36</v>
      </c>
      <c r="BK58" s="671">
        <f>SUM('Schedule 3B_Income_Eastern:Schedule 3D_Income_The Cape'!BK58)</f>
        <v>963.67999999999893</v>
      </c>
      <c r="BL58" s="671">
        <f>SUM('Schedule 3B_Income_Eastern:Schedule 3D_Income_The Cape'!BL58)</f>
        <v>0</v>
      </c>
      <c r="BM58" s="671">
        <f>SUM('Schedule 3B_Income_Eastern:Schedule 3D_Income_The Cape'!BM58)</f>
        <v>0</v>
      </c>
      <c r="BN58" s="671">
        <f>SUM('Schedule 3B_Income_Eastern:Schedule 3D_Income_The Cape'!BN58)</f>
        <v>0</v>
      </c>
      <c r="BO58" s="671">
        <f>SUM('Schedule 3B_Income_Eastern:Schedule 3D_Income_The Cape'!BO58)</f>
        <v>0</v>
      </c>
      <c r="BP58" s="671">
        <f>SUM('Schedule 3B_Income_Eastern:Schedule 3D_Income_The Cape'!BP58)</f>
        <v>0</v>
      </c>
      <c r="BQ58" s="671">
        <f>SUM('Schedule 3B_Income_Eastern:Schedule 3D_Income_The Cape'!BQ58)</f>
        <v>0</v>
      </c>
      <c r="BR58" s="671">
        <f>SUM('Schedule 3B_Income_Eastern:Schedule 3D_Income_The Cape'!BR58)</f>
        <v>0</v>
      </c>
      <c r="BS58" s="672">
        <f t="shared" si="98"/>
        <v>963.67999999999893</v>
      </c>
      <c r="BT58" s="673">
        <f>SUM('Schedule 3B_Income_Eastern:Schedule 3D_Income_The Cape'!BT58)</f>
        <v>0</v>
      </c>
      <c r="BU58" s="671">
        <f>SUM('Schedule 3B_Income_Eastern:Schedule 3D_Income_The Cape'!BU58)</f>
        <v>0</v>
      </c>
      <c r="BV58" s="671">
        <f>SUM('Schedule 3B_Income_Eastern:Schedule 3D_Income_The Cape'!BV58)</f>
        <v>0</v>
      </c>
      <c r="BW58" s="671">
        <f>SUM('Schedule 3B_Income_Eastern:Schedule 3D_Income_The Cape'!BW58)</f>
        <v>0</v>
      </c>
      <c r="BX58" s="671">
        <f>SUM('Schedule 3B_Income_Eastern:Schedule 3D_Income_The Cape'!BX58)</f>
        <v>0</v>
      </c>
      <c r="BY58" s="671">
        <f>SUM('Schedule 3B_Income_Eastern:Schedule 3D_Income_The Cape'!BY58)</f>
        <v>0</v>
      </c>
      <c r="BZ58" s="671">
        <f>SUM('Schedule 3B_Income_Eastern:Schedule 3D_Income_The Cape'!BZ58)</f>
        <v>0</v>
      </c>
      <c r="CA58" s="671">
        <f>SUM('Schedule 3B_Income_Eastern:Schedule 3D_Income_The Cape'!CA58)</f>
        <v>0</v>
      </c>
      <c r="CB58" s="674">
        <f t="shared" si="99"/>
        <v>0</v>
      </c>
      <c r="CC58" s="675">
        <f t="shared" si="100"/>
        <v>963.67999999999893</v>
      </c>
      <c r="CD58" s="343">
        <v>36</v>
      </c>
      <c r="CE58" s="462">
        <f t="shared" si="101"/>
        <v>40134.049999999959</v>
      </c>
      <c r="CF58" s="462">
        <f t="shared" si="102"/>
        <v>48754.944422393804</v>
      </c>
      <c r="CG58" s="462">
        <f t="shared" si="103"/>
        <v>91032.14666334723</v>
      </c>
      <c r="CH58" s="462">
        <f t="shared" si="104"/>
        <v>62798.039489883842</v>
      </c>
      <c r="CI58" s="464">
        <f t="shared" si="105"/>
        <v>242719.18057562487</v>
      </c>
      <c r="CJ58" s="462">
        <f t="shared" si="106"/>
        <v>14287</v>
      </c>
      <c r="CK58" s="462">
        <f t="shared" si="107"/>
        <v>3122.5632593516384</v>
      </c>
      <c r="CL58" s="462">
        <f t="shared" si="108"/>
        <v>6526.0827267061004</v>
      </c>
      <c r="CM58" s="462">
        <f t="shared" si="109"/>
        <v>3240.7835523941508</v>
      </c>
      <c r="CN58" s="464">
        <f t="shared" si="110"/>
        <v>27176.429538451888</v>
      </c>
      <c r="CO58" s="462">
        <f t="shared" si="111"/>
        <v>54421.049999999959</v>
      </c>
      <c r="CP58" s="462">
        <f t="shared" si="112"/>
        <v>51877.507681745446</v>
      </c>
      <c r="CQ58" s="462">
        <f t="shared" si="113"/>
        <v>97558.229390053326</v>
      </c>
      <c r="CR58" s="462">
        <f t="shared" si="114"/>
        <v>66038.823042277989</v>
      </c>
      <c r="CS58" s="464">
        <f t="shared" si="115"/>
        <v>269895.61011407676</v>
      </c>
    </row>
    <row r="59" spans="1:101" ht="15.75" customHeight="1" x14ac:dyDescent="0.25">
      <c r="A59" s="94" t="s">
        <v>341</v>
      </c>
      <c r="B59" s="343">
        <v>37</v>
      </c>
      <c r="C59" s="671">
        <f>SUM('Schedule 3B_Income_Eastern:Schedule 3D_Income_The Cape'!C59)</f>
        <v>1007.4999999999989</v>
      </c>
      <c r="D59" s="671">
        <f>SUM('Schedule 3B_Income_Eastern:Schedule 3D_Income_The Cape'!D59)</f>
        <v>3836.9999999999959</v>
      </c>
      <c r="E59" s="671">
        <f>SUM('Schedule 3B_Income_Eastern:Schedule 3D_Income_The Cape'!E59)</f>
        <v>3207.8645330091367</v>
      </c>
      <c r="F59" s="671">
        <f>SUM('Schedule 3B_Income_Eastern:Schedule 3D_Income_The Cape'!F59)</f>
        <v>6295.6765463092088</v>
      </c>
      <c r="G59" s="671">
        <f>SUM('Schedule 3B_Income_Eastern:Schedule 3D_Income_The Cape'!G59)</f>
        <v>4167.2439242839391</v>
      </c>
      <c r="H59" s="671">
        <f>SUM('Schedule 3B_Income_Eastern:Schedule 3D_Income_The Cape'!H59)</f>
        <v>6778.2727132755936</v>
      </c>
      <c r="I59" s="671">
        <f>SUM('Schedule 3B_Income_Eastern:Schedule 3D_Income_The Cape'!I59)</f>
        <v>5532.4170369031726</v>
      </c>
      <c r="J59" s="671">
        <f>SUM('Schedule 3B_Income_Eastern:Schedule 3D_Income_The Cape'!J59)</f>
        <v>5430.4253232928877</v>
      </c>
      <c r="K59" s="672">
        <f t="shared" si="89"/>
        <v>36256.400077073937</v>
      </c>
      <c r="L59" s="673">
        <f>SUM('Schedule 3B_Income_Eastern:Schedule 3D_Income_The Cape'!L59)</f>
        <v>0</v>
      </c>
      <c r="M59" s="671">
        <f>SUM('Schedule 3B_Income_Eastern:Schedule 3D_Income_The Cape'!M59)</f>
        <v>1119.8000000000002</v>
      </c>
      <c r="N59" s="671">
        <f>SUM('Schedule 3B_Income_Eastern:Schedule 3D_Income_The Cape'!N59)</f>
        <v>0</v>
      </c>
      <c r="O59" s="671">
        <f>SUM('Schedule 3B_Income_Eastern:Schedule 3D_Income_The Cape'!O59)</f>
        <v>2528.2648300800329</v>
      </c>
      <c r="P59" s="671">
        <f>SUM('Schedule 3B_Income_Eastern:Schedule 3D_Income_The Cape'!P59)</f>
        <v>0</v>
      </c>
      <c r="Q59" s="671">
        <f>SUM('Schedule 3B_Income_Eastern:Schedule 3D_Income_The Cape'!Q59)</f>
        <v>4019.1248894875862</v>
      </c>
      <c r="R59" s="671">
        <f>SUM('Schedule 3B_Income_Eastern:Schedule 3D_Income_The Cape'!R59)</f>
        <v>0</v>
      </c>
      <c r="S59" s="671">
        <f>SUM('Schedule 3B_Income_Eastern:Schedule 3D_Income_The Cape'!S59)</f>
        <v>4187.0357889814295</v>
      </c>
      <c r="T59" s="674">
        <f t="shared" si="90"/>
        <v>11854.225508549049</v>
      </c>
      <c r="U59" s="675">
        <f t="shared" si="91"/>
        <v>48110.625585622984</v>
      </c>
      <c r="V59" s="343">
        <v>37</v>
      </c>
      <c r="W59" s="671">
        <f>SUM('Schedule 3B_Income_Eastern:Schedule 3D_Income_The Cape'!W59)</f>
        <v>0</v>
      </c>
      <c r="X59" s="671">
        <f>SUM('Schedule 3B_Income_Eastern:Schedule 3D_Income_The Cape'!X59)</f>
        <v>696.99999999999932</v>
      </c>
      <c r="Y59" s="671">
        <f>SUM('Schedule 3B_Income_Eastern:Schedule 3D_Income_The Cape'!Y59)</f>
        <v>0</v>
      </c>
      <c r="Z59" s="671">
        <f>SUM('Schedule 3B_Income_Eastern:Schedule 3D_Income_The Cape'!Z59)</f>
        <v>449.54688111649995</v>
      </c>
      <c r="AA59" s="671">
        <f>SUM('Schedule 3B_Income_Eastern:Schedule 3D_Income_The Cape'!AA59)</f>
        <v>160.21776053456387</v>
      </c>
      <c r="AB59" s="671">
        <f>SUM('Schedule 3B_Income_Eastern:Schedule 3D_Income_The Cape'!AB59)</f>
        <v>1533.5843766167784</v>
      </c>
      <c r="AC59" s="671">
        <f>SUM('Schedule 3B_Income_Eastern:Schedule 3D_Income_The Cape'!AC59)</f>
        <v>364.47157121183324</v>
      </c>
      <c r="AD59" s="671">
        <f>SUM('Schedule 3B_Income_Eastern:Schedule 3D_Income_The Cape'!AD59)</f>
        <v>409.49512144318737</v>
      </c>
      <c r="AE59" s="672">
        <f t="shared" si="92"/>
        <v>3614.3157109228623</v>
      </c>
      <c r="AF59" s="673">
        <f>SUM('Schedule 3B_Income_Eastern:Schedule 3D_Income_The Cape'!AF59)</f>
        <v>0</v>
      </c>
      <c r="AG59" s="671">
        <f>SUM('Schedule 3B_Income_Eastern:Schedule 3D_Income_The Cape'!AG59)</f>
        <v>156.81</v>
      </c>
      <c r="AH59" s="671">
        <f>SUM('Schedule 3B_Income_Eastern:Schedule 3D_Income_The Cape'!AH59)</f>
        <v>0</v>
      </c>
      <c r="AI59" s="671">
        <f>SUM('Schedule 3B_Income_Eastern:Schedule 3D_Income_The Cape'!AI59)</f>
        <v>149.21999656072066</v>
      </c>
      <c r="AJ59" s="671">
        <f>SUM('Schedule 3B_Income_Eastern:Schedule 3D_Income_The Cape'!AJ59)</f>
        <v>0</v>
      </c>
      <c r="AK59" s="671">
        <f>SUM('Schedule 3B_Income_Eastern:Schedule 3D_Income_The Cape'!AK59)</f>
        <v>368.35224243464398</v>
      </c>
      <c r="AL59" s="671">
        <f>SUM('Schedule 3B_Income_Eastern:Schedule 3D_Income_The Cape'!AL59)</f>
        <v>0</v>
      </c>
      <c r="AM59" s="671">
        <f>SUM('Schedule 3B_Income_Eastern:Schedule 3D_Income_The Cape'!AM59)</f>
        <v>652.1325008846311</v>
      </c>
      <c r="AN59" s="674">
        <f t="shared" si="93"/>
        <v>1326.5147398799957</v>
      </c>
      <c r="AO59" s="675">
        <f t="shared" si="94"/>
        <v>4940.8304508028577</v>
      </c>
      <c r="AP59" s="343">
        <v>37</v>
      </c>
      <c r="AQ59" s="671">
        <f>SUM('Schedule 3B_Income_Eastern:Schedule 3D_Income_The Cape'!AQ59)</f>
        <v>12927.179999999986</v>
      </c>
      <c r="AR59" s="671">
        <f>SUM('Schedule 3B_Income_Eastern:Schedule 3D_Income_The Cape'!AR59)</f>
        <v>22856.32999999998</v>
      </c>
      <c r="AS59" s="671">
        <f>SUM('Schedule 3B_Income_Eastern:Schedule 3D_Income_The Cape'!AS59)</f>
        <v>11955.666799903691</v>
      </c>
      <c r="AT59" s="671">
        <f>SUM('Schedule 3B_Income_Eastern:Schedule 3D_Income_The Cape'!AT59)</f>
        <v>23558.146767624305</v>
      </c>
      <c r="AU59" s="671">
        <f>SUM('Schedule 3B_Income_Eastern:Schedule 3D_Income_The Cape'!AU59)</f>
        <v>16768.510980867857</v>
      </c>
      <c r="AV59" s="671">
        <f>SUM('Schedule 3B_Income_Eastern:Schedule 3D_Income_The Cape'!AV59)</f>
        <v>29673.971483046713</v>
      </c>
      <c r="AW59" s="671">
        <f>SUM('Schedule 3B_Income_Eastern:Schedule 3D_Income_The Cape'!AW59)</f>
        <v>25168.305340761388</v>
      </c>
      <c r="AX59" s="671">
        <f>SUM('Schedule 3B_Income_Eastern:Schedule 3D_Income_The Cape'!AX59)</f>
        <v>30864.156457390032</v>
      </c>
      <c r="AY59" s="672">
        <f t="shared" si="95"/>
        <v>173772.26782959394</v>
      </c>
      <c r="AZ59" s="673">
        <f>SUM('Schedule 3B_Income_Eastern:Schedule 3D_Income_The Cape'!AZ59)</f>
        <v>0</v>
      </c>
      <c r="BA59" s="671">
        <f>SUM('Schedule 3B_Income_Eastern:Schedule 3D_Income_The Cape'!BA59)</f>
        <v>9734.6600000000017</v>
      </c>
      <c r="BB59" s="671">
        <f>SUM('Schedule 3B_Income_Eastern:Schedule 3D_Income_The Cape'!BB59)</f>
        <v>0</v>
      </c>
      <c r="BC59" s="671">
        <f>SUM('Schedule 3B_Income_Eastern:Schedule 3D_Income_The Cape'!BC59)</f>
        <v>12520.811467601445</v>
      </c>
      <c r="BD59" s="671">
        <f>SUM('Schedule 3B_Income_Eastern:Schedule 3D_Income_The Cape'!BD59)</f>
        <v>0</v>
      </c>
      <c r="BE59" s="671">
        <f>SUM('Schedule 3B_Income_Eastern:Schedule 3D_Income_The Cape'!BE59)</f>
        <v>26508.883439075966</v>
      </c>
      <c r="BF59" s="671">
        <f>SUM('Schedule 3B_Income_Eastern:Schedule 3D_Income_The Cape'!BF59)</f>
        <v>0</v>
      </c>
      <c r="BG59" s="671">
        <f>SUM('Schedule 3B_Income_Eastern:Schedule 3D_Income_The Cape'!BG59)</f>
        <v>32746.130708597451</v>
      </c>
      <c r="BH59" s="674">
        <f t="shared" si="96"/>
        <v>81510.485615274869</v>
      </c>
      <c r="BI59" s="675">
        <f t="shared" si="97"/>
        <v>255282.75344486881</v>
      </c>
      <c r="BJ59" s="343">
        <v>37</v>
      </c>
      <c r="BK59" s="671">
        <f>SUM('Schedule 3B_Income_Eastern:Schedule 3D_Income_The Cape'!BK59)</f>
        <v>0</v>
      </c>
      <c r="BL59" s="671">
        <f>SUM('Schedule 3B_Income_Eastern:Schedule 3D_Income_The Cape'!BL59)</f>
        <v>0</v>
      </c>
      <c r="BM59" s="671">
        <f>SUM('Schedule 3B_Income_Eastern:Schedule 3D_Income_The Cape'!BM59)</f>
        <v>0</v>
      </c>
      <c r="BN59" s="671">
        <f>SUM('Schedule 3B_Income_Eastern:Schedule 3D_Income_The Cape'!BN59)</f>
        <v>0</v>
      </c>
      <c r="BO59" s="671">
        <f>SUM('Schedule 3B_Income_Eastern:Schedule 3D_Income_The Cape'!BO59)</f>
        <v>0</v>
      </c>
      <c r="BP59" s="671">
        <f>SUM('Schedule 3B_Income_Eastern:Schedule 3D_Income_The Cape'!BP59)</f>
        <v>0</v>
      </c>
      <c r="BQ59" s="671">
        <f>SUM('Schedule 3B_Income_Eastern:Schedule 3D_Income_The Cape'!BQ59)</f>
        <v>0</v>
      </c>
      <c r="BR59" s="671">
        <f>SUM('Schedule 3B_Income_Eastern:Schedule 3D_Income_The Cape'!BR59)</f>
        <v>0</v>
      </c>
      <c r="BS59" s="672">
        <f t="shared" si="98"/>
        <v>0</v>
      </c>
      <c r="BT59" s="673">
        <f>SUM('Schedule 3B_Income_Eastern:Schedule 3D_Income_The Cape'!BT59)</f>
        <v>0</v>
      </c>
      <c r="BU59" s="671">
        <f>SUM('Schedule 3B_Income_Eastern:Schedule 3D_Income_The Cape'!BU59)</f>
        <v>0</v>
      </c>
      <c r="BV59" s="671">
        <f>SUM('Schedule 3B_Income_Eastern:Schedule 3D_Income_The Cape'!BV59)</f>
        <v>0</v>
      </c>
      <c r="BW59" s="671">
        <f>SUM('Schedule 3B_Income_Eastern:Schedule 3D_Income_The Cape'!BW59)</f>
        <v>0</v>
      </c>
      <c r="BX59" s="671">
        <f>SUM('Schedule 3B_Income_Eastern:Schedule 3D_Income_The Cape'!BX59)</f>
        <v>0</v>
      </c>
      <c r="BY59" s="671">
        <f>SUM('Schedule 3B_Income_Eastern:Schedule 3D_Income_The Cape'!BY59)</f>
        <v>0</v>
      </c>
      <c r="BZ59" s="671">
        <f>SUM('Schedule 3B_Income_Eastern:Schedule 3D_Income_The Cape'!BZ59)</f>
        <v>0</v>
      </c>
      <c r="CA59" s="671">
        <f>SUM('Schedule 3B_Income_Eastern:Schedule 3D_Income_The Cape'!CA59)</f>
        <v>0</v>
      </c>
      <c r="CB59" s="674">
        <f t="shared" si="99"/>
        <v>0</v>
      </c>
      <c r="CC59" s="675">
        <f t="shared" si="100"/>
        <v>0</v>
      </c>
      <c r="CD59" s="343">
        <v>37</v>
      </c>
      <c r="CE59" s="462">
        <f t="shared" si="101"/>
        <v>41325.009999999958</v>
      </c>
      <c r="CF59" s="462">
        <f t="shared" si="102"/>
        <v>45466.901527962837</v>
      </c>
      <c r="CG59" s="462">
        <f t="shared" si="103"/>
        <v>59081.801238625441</v>
      </c>
      <c r="CH59" s="462">
        <f t="shared" si="104"/>
        <v>67769.270851002511</v>
      </c>
      <c r="CI59" s="464">
        <f t="shared" si="105"/>
        <v>213642.98361759074</v>
      </c>
      <c r="CJ59" s="462">
        <f t="shared" si="106"/>
        <v>11011.270000000002</v>
      </c>
      <c r="CK59" s="462">
        <f t="shared" si="107"/>
        <v>15198.296294242198</v>
      </c>
      <c r="CL59" s="462">
        <f t="shared" si="108"/>
        <v>30896.360570998197</v>
      </c>
      <c r="CM59" s="462">
        <f t="shared" si="109"/>
        <v>37585.298998463513</v>
      </c>
      <c r="CN59" s="464">
        <f t="shared" si="110"/>
        <v>94691.225863703919</v>
      </c>
      <c r="CO59" s="462">
        <f t="shared" si="111"/>
        <v>52336.279999999962</v>
      </c>
      <c r="CP59" s="462">
        <f t="shared" si="112"/>
        <v>60665.197822205038</v>
      </c>
      <c r="CQ59" s="462">
        <f t="shared" si="113"/>
        <v>89978.161809623649</v>
      </c>
      <c r="CR59" s="462">
        <f t="shared" si="114"/>
        <v>105354.56984946602</v>
      </c>
      <c r="CS59" s="464">
        <f t="shared" si="115"/>
        <v>308334.20948129467</v>
      </c>
    </row>
    <row r="60" spans="1:101" ht="15.75" customHeight="1" x14ac:dyDescent="0.25">
      <c r="A60" s="724" t="s">
        <v>1508</v>
      </c>
      <c r="B60" s="725">
        <v>38</v>
      </c>
      <c r="C60" s="671">
        <f>SUM('Schedule 3B_Income_Eastern:Schedule 3D_Income_The Cape'!C60)</f>
        <v>105728.17459133785</v>
      </c>
      <c r="D60" s="671">
        <f>SUM('Schedule 3B_Income_Eastern:Schedule 3D_Income_The Cape'!D60)</f>
        <v>495101.25955782132</v>
      </c>
      <c r="E60" s="671">
        <f>SUM('Schedule 3B_Income_Eastern:Schedule 3D_Income_The Cape'!E60)</f>
        <v>165816.41893686884</v>
      </c>
      <c r="F60" s="671">
        <f>SUM('Schedule 3B_Income_Eastern:Schedule 3D_Income_The Cape'!F60)</f>
        <v>713578.74823333684</v>
      </c>
      <c r="G60" s="671">
        <f>SUM('Schedule 3B_Income_Eastern:Schedule 3D_Income_The Cape'!G60)</f>
        <v>173219.17442777965</v>
      </c>
      <c r="H60" s="671">
        <f>SUM('Schedule 3B_Income_Eastern:Schedule 3D_Income_The Cape'!H60)</f>
        <v>689878.9169463868</v>
      </c>
      <c r="I60" s="671">
        <f>SUM('Schedule 3B_Income_Eastern:Schedule 3D_Income_The Cape'!I60)</f>
        <v>153534.81319481006</v>
      </c>
      <c r="J60" s="671">
        <f>SUM('Schedule 3B_Income_Eastern:Schedule 3D_Income_The Cape'!J60)</f>
        <v>636311.59753479226</v>
      </c>
      <c r="K60" s="672">
        <f>SUM(C60:J60)</f>
        <v>3133169.1034231335</v>
      </c>
      <c r="L60" s="673">
        <f>SUM('Schedule 3B_Income_Eastern:Schedule 3D_Income_The Cape'!L60)</f>
        <v>0</v>
      </c>
      <c r="M60" s="671">
        <f>SUM('Schedule 3B_Income_Eastern:Schedule 3D_Income_The Cape'!M60)</f>
        <v>0</v>
      </c>
      <c r="N60" s="671">
        <f>SUM('Schedule 3B_Income_Eastern:Schedule 3D_Income_The Cape'!N60)</f>
        <v>0</v>
      </c>
      <c r="O60" s="671">
        <f>SUM('Schedule 3B_Income_Eastern:Schedule 3D_Income_The Cape'!O60)</f>
        <v>0</v>
      </c>
      <c r="P60" s="671">
        <f>SUM('Schedule 3B_Income_Eastern:Schedule 3D_Income_The Cape'!P60)</f>
        <v>0</v>
      </c>
      <c r="Q60" s="671">
        <f>SUM('Schedule 3B_Income_Eastern:Schedule 3D_Income_The Cape'!Q60)</f>
        <v>0</v>
      </c>
      <c r="R60" s="671">
        <f>SUM('Schedule 3B_Income_Eastern:Schedule 3D_Income_The Cape'!R60)</f>
        <v>0</v>
      </c>
      <c r="S60" s="671">
        <f>SUM('Schedule 3B_Income_Eastern:Schedule 3D_Income_The Cape'!S60)</f>
        <v>0</v>
      </c>
      <c r="T60" s="674">
        <f>SUM(L60:S60)</f>
        <v>0</v>
      </c>
      <c r="U60" s="675">
        <f>SUM(T60,K60)</f>
        <v>3133169.1034231335</v>
      </c>
      <c r="V60" s="725">
        <v>38</v>
      </c>
      <c r="W60" s="671">
        <f>SUM('Schedule 3B_Income_Eastern:Schedule 3D_Income_The Cape'!W60)</f>
        <v>5410.0674132994509</v>
      </c>
      <c r="X60" s="671">
        <f>SUM('Schedule 3B_Income_Eastern:Schedule 3D_Income_The Cape'!X60)</f>
        <v>110231.47844263334</v>
      </c>
      <c r="Y60" s="671">
        <f>SUM('Schedule 3B_Income_Eastern:Schedule 3D_Income_The Cape'!Y60)</f>
        <v>3790.1304704510621</v>
      </c>
      <c r="Z60" s="671">
        <f>SUM('Schedule 3B_Income_Eastern:Schedule 3D_Income_The Cape'!Z60)</f>
        <v>89082.733999797769</v>
      </c>
      <c r="AA60" s="671">
        <f>SUM('Schedule 3B_Income_Eastern:Schedule 3D_Income_The Cape'!AA60)</f>
        <v>4557.2001774033279</v>
      </c>
      <c r="AB60" s="671">
        <f>SUM('Schedule 3B_Income_Eastern:Schedule 3D_Income_The Cape'!AB60)</f>
        <v>91991.684281877315</v>
      </c>
      <c r="AC60" s="671">
        <f>SUM('Schedule 3B_Income_Eastern:Schedule 3D_Income_The Cape'!AC60)</f>
        <v>5620.6939984322344</v>
      </c>
      <c r="AD60" s="671">
        <f>SUM('Schedule 3B_Income_Eastern:Schedule 3D_Income_The Cape'!AD60)</f>
        <v>98169.655452069841</v>
      </c>
      <c r="AE60" s="672">
        <f>SUM(W60:AD60)</f>
        <v>408853.64423596434</v>
      </c>
      <c r="AF60" s="673">
        <f>SUM('Schedule 3B_Income_Eastern:Schedule 3D_Income_The Cape'!AF60)</f>
        <v>0</v>
      </c>
      <c r="AG60" s="671">
        <f>SUM('Schedule 3B_Income_Eastern:Schedule 3D_Income_The Cape'!AG60)</f>
        <v>0</v>
      </c>
      <c r="AH60" s="671">
        <f>SUM('Schedule 3B_Income_Eastern:Schedule 3D_Income_The Cape'!AH60)</f>
        <v>0</v>
      </c>
      <c r="AI60" s="671">
        <f>SUM('Schedule 3B_Income_Eastern:Schedule 3D_Income_The Cape'!AI60)</f>
        <v>0</v>
      </c>
      <c r="AJ60" s="671">
        <f>SUM('Schedule 3B_Income_Eastern:Schedule 3D_Income_The Cape'!AJ60)</f>
        <v>0</v>
      </c>
      <c r="AK60" s="671">
        <f>SUM('Schedule 3B_Income_Eastern:Schedule 3D_Income_The Cape'!AK60)</f>
        <v>0</v>
      </c>
      <c r="AL60" s="671">
        <f>SUM('Schedule 3B_Income_Eastern:Schedule 3D_Income_The Cape'!AL60)</f>
        <v>0</v>
      </c>
      <c r="AM60" s="671">
        <f>SUM('Schedule 3B_Income_Eastern:Schedule 3D_Income_The Cape'!AM60)</f>
        <v>0</v>
      </c>
      <c r="AN60" s="674">
        <f>SUM(AF60:AM60)</f>
        <v>0</v>
      </c>
      <c r="AO60" s="675">
        <f>SUM(AN60,AE60)</f>
        <v>408853.64423596434</v>
      </c>
      <c r="AP60" s="725">
        <v>38</v>
      </c>
      <c r="AQ60" s="671">
        <f>SUM('Schedule 3B_Income_Eastern:Schedule 3D_Income_The Cape'!AQ60)</f>
        <v>372308.22532724589</v>
      </c>
      <c r="AR60" s="671">
        <f>SUM('Schedule 3B_Income_Eastern:Schedule 3D_Income_The Cape'!AR60)</f>
        <v>1606161.5373421079</v>
      </c>
      <c r="AS60" s="671">
        <f>SUM('Schedule 3B_Income_Eastern:Schedule 3D_Income_The Cape'!AS60)</f>
        <v>349224.6020622527</v>
      </c>
      <c r="AT60" s="671">
        <f>SUM('Schedule 3B_Income_Eastern:Schedule 3D_Income_The Cape'!AT60)</f>
        <v>1510515.2609880939</v>
      </c>
      <c r="AU60" s="671">
        <f>SUM('Schedule 3B_Income_Eastern:Schedule 3D_Income_The Cape'!AU60)</f>
        <v>382657.47690999566</v>
      </c>
      <c r="AV60" s="671">
        <f>SUM('Schedule 3B_Income_Eastern:Schedule 3D_Income_The Cape'!AV60)</f>
        <v>1616007.9499434382</v>
      </c>
      <c r="AW60" s="671">
        <f>SUM('Schedule 3B_Income_Eastern:Schedule 3D_Income_The Cape'!AW60)</f>
        <v>433562.80825768947</v>
      </c>
      <c r="AX60" s="671">
        <f>SUM('Schedule 3B_Income_Eastern:Schedule 3D_Income_The Cape'!AX60)</f>
        <v>1752195.7723722926</v>
      </c>
      <c r="AY60" s="672">
        <f>SUM(AQ60:AX60)</f>
        <v>8022633.6332031162</v>
      </c>
      <c r="AZ60" s="673">
        <f>SUM('Schedule 3B_Income_Eastern:Schedule 3D_Income_The Cape'!AZ60)</f>
        <v>0</v>
      </c>
      <c r="BA60" s="671">
        <f>SUM('Schedule 3B_Income_Eastern:Schedule 3D_Income_The Cape'!BA60)</f>
        <v>0</v>
      </c>
      <c r="BB60" s="671">
        <f>SUM('Schedule 3B_Income_Eastern:Schedule 3D_Income_The Cape'!BB60)</f>
        <v>0</v>
      </c>
      <c r="BC60" s="671">
        <f>SUM('Schedule 3B_Income_Eastern:Schedule 3D_Income_The Cape'!BC60)</f>
        <v>0</v>
      </c>
      <c r="BD60" s="671">
        <f>SUM('Schedule 3B_Income_Eastern:Schedule 3D_Income_The Cape'!BD60)</f>
        <v>0</v>
      </c>
      <c r="BE60" s="671">
        <f>SUM('Schedule 3B_Income_Eastern:Schedule 3D_Income_The Cape'!BE60)</f>
        <v>0</v>
      </c>
      <c r="BF60" s="671">
        <f>SUM('Schedule 3B_Income_Eastern:Schedule 3D_Income_The Cape'!BF60)</f>
        <v>0</v>
      </c>
      <c r="BG60" s="671">
        <f>SUM('Schedule 3B_Income_Eastern:Schedule 3D_Income_The Cape'!BG60)</f>
        <v>0</v>
      </c>
      <c r="BH60" s="674">
        <f>SUM(AZ60:BG60)</f>
        <v>0</v>
      </c>
      <c r="BI60" s="675">
        <f>SUM(BH60,AY60)</f>
        <v>8022633.6332031162</v>
      </c>
      <c r="BJ60" s="725">
        <v>38</v>
      </c>
      <c r="BK60" s="671">
        <f>SUM('Schedule 3B_Income_Eastern:Schedule 3D_Income_The Cape'!BK60)</f>
        <v>2837.2479365794593</v>
      </c>
      <c r="BL60" s="671">
        <f>SUM('Schedule 3B_Income_Eastern:Schedule 3D_Income_The Cape'!BL60)</f>
        <v>58890.509388974548</v>
      </c>
      <c r="BM60" s="671">
        <f>SUM('Schedule 3B_Income_Eastern:Schedule 3D_Income_The Cape'!BM60)</f>
        <v>2475.1872460088571</v>
      </c>
      <c r="BN60" s="671">
        <f>SUM('Schedule 3B_Income_Eastern:Schedule 3D_Income_The Cape'!BN60)</f>
        <v>52658.668063190227</v>
      </c>
      <c r="BO60" s="671">
        <f>SUM('Schedule 3B_Income_Eastern:Schedule 3D_Income_The Cape'!BO60)</f>
        <v>3192.017655712054</v>
      </c>
      <c r="BP60" s="671">
        <f>SUM('Schedule 3B_Income_Eastern:Schedule 3D_Income_The Cape'!BP60)</f>
        <v>56198.969657406953</v>
      </c>
      <c r="BQ60" s="671">
        <f>SUM('Schedule 3B_Income_Eastern:Schedule 3D_Income_The Cape'!BQ60)</f>
        <v>4157.7736426758993</v>
      </c>
      <c r="BR60" s="671">
        <f>SUM('Schedule 3B_Income_Eastern:Schedule 3D_Income_The Cape'!BR60)</f>
        <v>60204.245547238119</v>
      </c>
      <c r="BS60" s="672">
        <f>SUM(BK60:BR60)</f>
        <v>240614.61913778613</v>
      </c>
      <c r="BT60" s="673">
        <f>SUM('Schedule 3B_Income_Eastern:Schedule 3D_Income_The Cape'!BT60)</f>
        <v>0</v>
      </c>
      <c r="BU60" s="671">
        <f>SUM('Schedule 3B_Income_Eastern:Schedule 3D_Income_The Cape'!BU60)</f>
        <v>0</v>
      </c>
      <c r="BV60" s="671">
        <f>SUM('Schedule 3B_Income_Eastern:Schedule 3D_Income_The Cape'!BV60)</f>
        <v>0</v>
      </c>
      <c r="BW60" s="671">
        <f>SUM('Schedule 3B_Income_Eastern:Schedule 3D_Income_The Cape'!BW60)</f>
        <v>0</v>
      </c>
      <c r="BX60" s="671">
        <f>SUM('Schedule 3B_Income_Eastern:Schedule 3D_Income_The Cape'!BX60)</f>
        <v>0</v>
      </c>
      <c r="BY60" s="671">
        <f>SUM('Schedule 3B_Income_Eastern:Schedule 3D_Income_The Cape'!BY60)</f>
        <v>0</v>
      </c>
      <c r="BZ60" s="671">
        <f>SUM('Schedule 3B_Income_Eastern:Schedule 3D_Income_The Cape'!BZ60)</f>
        <v>0</v>
      </c>
      <c r="CA60" s="671">
        <f>SUM('Schedule 3B_Income_Eastern:Schedule 3D_Income_The Cape'!CA60)</f>
        <v>0</v>
      </c>
      <c r="CB60" s="674">
        <f>SUM(BT60:CA60)</f>
        <v>0</v>
      </c>
      <c r="CC60" s="675">
        <f>SUM(CB60,BS60)</f>
        <v>240614.61913778613</v>
      </c>
      <c r="CD60" s="725">
        <v>38</v>
      </c>
      <c r="CE60" s="462">
        <f t="shared" si="101"/>
        <v>2756668.4999999995</v>
      </c>
      <c r="CF60" s="462">
        <f t="shared" si="102"/>
        <v>2887141.75</v>
      </c>
      <c r="CG60" s="462">
        <f t="shared" si="103"/>
        <v>3017703.39</v>
      </c>
      <c r="CH60" s="462">
        <f t="shared" si="104"/>
        <v>3143757.3600000008</v>
      </c>
      <c r="CI60" s="464">
        <f t="shared" si="105"/>
        <v>11805271</v>
      </c>
      <c r="CJ60" s="462">
        <f t="shared" si="106"/>
        <v>0</v>
      </c>
      <c r="CK60" s="462">
        <f t="shared" si="107"/>
        <v>0</v>
      </c>
      <c r="CL60" s="462">
        <f t="shared" si="108"/>
        <v>0</v>
      </c>
      <c r="CM60" s="462">
        <f t="shared" si="109"/>
        <v>0</v>
      </c>
      <c r="CN60" s="464">
        <f t="shared" si="110"/>
        <v>0</v>
      </c>
      <c r="CO60" s="462">
        <f t="shared" si="111"/>
        <v>2756668.4999999995</v>
      </c>
      <c r="CP60" s="462">
        <f t="shared" si="112"/>
        <v>2887141.75</v>
      </c>
      <c r="CQ60" s="462">
        <f t="shared" si="113"/>
        <v>3017703.39</v>
      </c>
      <c r="CR60" s="462">
        <f t="shared" si="114"/>
        <v>3143757.3600000008</v>
      </c>
      <c r="CS60" s="464">
        <f t="shared" si="115"/>
        <v>11805271</v>
      </c>
      <c r="CU60" s="362"/>
    </row>
    <row r="61" spans="1:101" ht="15.75" customHeight="1" x14ac:dyDescent="0.25">
      <c r="A61" s="724" t="s">
        <v>286</v>
      </c>
      <c r="B61" s="725">
        <v>39</v>
      </c>
      <c r="C61" s="671">
        <f>SUM('Schedule 3B_Income_Eastern:Schedule 3D_Income_The Cape'!C61)</f>
        <v>39306.559999999998</v>
      </c>
      <c r="D61" s="671">
        <f>SUM('Schedule 3B_Income_Eastern:Schedule 3D_Income_The Cape'!D61)</f>
        <v>187807.97</v>
      </c>
      <c r="E61" s="671">
        <f>SUM('Schedule 3B_Income_Eastern:Schedule 3D_Income_The Cape'!E61)</f>
        <v>62890.25</v>
      </c>
      <c r="F61" s="671">
        <f>SUM('Schedule 3B_Income_Eastern:Schedule 3D_Income_The Cape'!F61)</f>
        <v>275452.87840314029</v>
      </c>
      <c r="G61" s="671">
        <f>SUM('Schedule 3B_Income_Eastern:Schedule 3D_Income_The Cape'!G61)</f>
        <v>67048.52</v>
      </c>
      <c r="H61" s="671">
        <f>SUM('Schedule 3B_Income_Eastern:Schedule 3D_Income_The Cape'!H61)</f>
        <v>269523.10960115184</v>
      </c>
      <c r="I61" s="671">
        <f>SUM('Schedule 3B_Income_Eastern:Schedule 3D_Income_The Cape'!I61)</f>
        <v>47111.09</v>
      </c>
      <c r="J61" s="671">
        <f>SUM('Schedule 3B_Income_Eastern:Schedule 3D_Income_The Cape'!J61)</f>
        <v>197835.77820549664</v>
      </c>
      <c r="K61" s="672">
        <f t="shared" si="89"/>
        <v>1146976.1562097888</v>
      </c>
      <c r="L61" s="673">
        <f>SUM('Schedule 3B_Income_Eastern:Schedule 3D_Income_The Cape'!L61)</f>
        <v>0</v>
      </c>
      <c r="M61" s="671">
        <f>SUM('Schedule 3B_Income_Eastern:Schedule 3D_Income_The Cape'!M61)</f>
        <v>889554.83000000007</v>
      </c>
      <c r="N61" s="671">
        <f>SUM('Schedule 3B_Income_Eastern:Schedule 3D_Income_The Cape'!N61)</f>
        <v>0</v>
      </c>
      <c r="O61" s="671">
        <f>SUM('Schedule 3B_Income_Eastern:Schedule 3D_Income_The Cape'!O61)</f>
        <v>1362391.6144886448</v>
      </c>
      <c r="P61" s="671">
        <f>SUM('Schedule 3B_Income_Eastern:Schedule 3D_Income_The Cape'!P61)</f>
        <v>0</v>
      </c>
      <c r="Q61" s="671">
        <f>SUM('Schedule 3B_Income_Eastern:Schedule 3D_Income_The Cape'!Q61)</f>
        <v>1314640.97</v>
      </c>
      <c r="R61" s="671">
        <f>SUM('Schedule 3B_Income_Eastern:Schedule 3D_Income_The Cape'!R61)</f>
        <v>0</v>
      </c>
      <c r="S61" s="671">
        <f>SUM('Schedule 3B_Income_Eastern:Schedule 3D_Income_The Cape'!S61)</f>
        <v>1248840.4070288739</v>
      </c>
      <c r="T61" s="674">
        <f t="shared" si="90"/>
        <v>4815427.8215175178</v>
      </c>
      <c r="U61" s="675">
        <f t="shared" si="91"/>
        <v>5962403.977727307</v>
      </c>
      <c r="V61" s="725">
        <v>39</v>
      </c>
      <c r="W61" s="671">
        <f>SUM('Schedule 3B_Income_Eastern:Schedule 3D_Income_The Cape'!W61)</f>
        <v>1857.8400000000001</v>
      </c>
      <c r="X61" s="671">
        <f>SUM('Schedule 3B_Income_Eastern:Schedule 3D_Income_The Cape'!X61)</f>
        <v>39537.279999999999</v>
      </c>
      <c r="Y61" s="671">
        <f>SUM('Schedule 3B_Income_Eastern:Schedule 3D_Income_The Cape'!Y61)</f>
        <v>1358.64</v>
      </c>
      <c r="Z61" s="671">
        <f>SUM('Schedule 3B_Income_Eastern:Schedule 3D_Income_The Cape'!Z61)</f>
        <v>33578.660000000003</v>
      </c>
      <c r="AA61" s="671">
        <f>SUM('Schedule 3B_Income_Eastern:Schedule 3D_Income_The Cape'!AA61)</f>
        <v>1658.42</v>
      </c>
      <c r="AB61" s="671">
        <f>SUM('Schedule 3B_Income_Eastern:Schedule 3D_Income_The Cape'!AB61)</f>
        <v>35051.939850177827</v>
      </c>
      <c r="AC61" s="671">
        <f>SUM('Schedule 3B_Income_Eastern:Schedule 3D_Income_The Cape'!AC61)</f>
        <v>1595.74</v>
      </c>
      <c r="AD61" s="671">
        <f>SUM('Schedule 3B_Income_Eastern:Schedule 3D_Income_The Cape'!AD61)</f>
        <v>30268.420000000006</v>
      </c>
      <c r="AE61" s="672">
        <f t="shared" si="92"/>
        <v>144906.93985017782</v>
      </c>
      <c r="AF61" s="673">
        <f>SUM('Schedule 3B_Income_Eastern:Schedule 3D_Income_The Cape'!AF61)</f>
        <v>0</v>
      </c>
      <c r="AG61" s="671">
        <f>SUM('Schedule 3B_Income_Eastern:Schedule 3D_Income_The Cape'!AG61)</f>
        <v>196535.83</v>
      </c>
      <c r="AH61" s="671">
        <f>SUM('Schedule 3B_Income_Eastern:Schedule 3D_Income_The Cape'!AH61)</f>
        <v>0</v>
      </c>
      <c r="AI61" s="671">
        <f>SUM('Schedule 3B_Income_Eastern:Schedule 3D_Income_The Cape'!AI61)</f>
        <v>169485.25</v>
      </c>
      <c r="AJ61" s="671">
        <f>SUM('Schedule 3B_Income_Eastern:Schedule 3D_Income_The Cape'!AJ61)</f>
        <v>0</v>
      </c>
      <c r="AK61" s="671">
        <f>SUM('Schedule 3B_Income_Eastern:Schedule 3D_Income_The Cape'!AK61)</f>
        <v>174808.91791475081</v>
      </c>
      <c r="AL61" s="671">
        <f>SUM('Schedule 3B_Income_Eastern:Schedule 3D_Income_The Cape'!AL61)</f>
        <v>0</v>
      </c>
      <c r="AM61" s="671">
        <f>SUM('Schedule 3B_Income_Eastern:Schedule 3D_Income_The Cape'!AM61)</f>
        <v>190997.44</v>
      </c>
      <c r="AN61" s="674">
        <f t="shared" si="93"/>
        <v>731827.43791475077</v>
      </c>
      <c r="AO61" s="675">
        <f t="shared" si="94"/>
        <v>876734.37776492862</v>
      </c>
      <c r="AP61" s="725">
        <v>39</v>
      </c>
      <c r="AQ61" s="671">
        <f>SUM('Schedule 3B_Income_Eastern:Schedule 3D_Income_The Cape'!AQ61)</f>
        <v>136679.97</v>
      </c>
      <c r="AR61" s="671">
        <f>SUM('Schedule 3B_Income_Eastern:Schedule 3D_Income_The Cape'!AR61)</f>
        <v>627171.39999999991</v>
      </c>
      <c r="AS61" s="671">
        <f>SUM('Schedule 3B_Income_Eastern:Schedule 3D_Income_The Cape'!AS61)</f>
        <v>134317.93</v>
      </c>
      <c r="AT61" s="671">
        <f>SUM('Schedule 3B_Income_Eastern:Schedule 3D_Income_The Cape'!AT61)</f>
        <v>617691.68821123533</v>
      </c>
      <c r="AU61" s="671">
        <f>SUM('Schedule 3B_Income_Eastern:Schedule 3D_Income_The Cape'!AU61)</f>
        <v>148477.03000000003</v>
      </c>
      <c r="AV61" s="671">
        <f>SUM('Schedule 3B_Income_Eastern:Schedule 3D_Income_The Cape'!AV61)</f>
        <v>666993.56392295239</v>
      </c>
      <c r="AW61" s="671">
        <f>SUM('Schedule 3B_Income_Eastern:Schedule 3D_Income_The Cape'!AW61)</f>
        <v>133301.04871514364</v>
      </c>
      <c r="AX61" s="671">
        <f>SUM('Schedule 3B_Income_Eastern:Schedule 3D_Income_The Cape'!AX61)</f>
        <v>579427.29505764937</v>
      </c>
      <c r="AY61" s="672">
        <f t="shared" si="95"/>
        <v>3044059.9259069799</v>
      </c>
      <c r="AZ61" s="673">
        <f>SUM('Schedule 3B_Income_Eastern:Schedule 3D_Income_The Cape'!AZ61)</f>
        <v>0</v>
      </c>
      <c r="BA61" s="671">
        <f>SUM('Schedule 3B_Income_Eastern:Schedule 3D_Income_The Cape'!BA61)</f>
        <v>2896877.78</v>
      </c>
      <c r="BB61" s="671">
        <f>SUM('Schedule 3B_Income_Eastern:Schedule 3D_Income_The Cape'!BB61)</f>
        <v>0</v>
      </c>
      <c r="BC61" s="671">
        <f>SUM('Schedule 3B_Income_Eastern:Schedule 3D_Income_The Cape'!BC61)</f>
        <v>2905841.4900410171</v>
      </c>
      <c r="BD61" s="671">
        <f>SUM('Schedule 3B_Income_Eastern:Schedule 3D_Income_The Cape'!BD61)</f>
        <v>0</v>
      </c>
      <c r="BE61" s="671">
        <f>SUM('Schedule 3B_Income_Eastern:Schedule 3D_Income_The Cape'!BE61)</f>
        <v>3102795.0642789495</v>
      </c>
      <c r="BF61" s="671">
        <f>SUM('Schedule 3B_Income_Eastern:Schedule 3D_Income_The Cape'!BF61)</f>
        <v>0</v>
      </c>
      <c r="BG61" s="671">
        <f>SUM('Schedule 3B_Income_Eastern:Schedule 3D_Income_The Cape'!BG61)</f>
        <v>3441874.191668625</v>
      </c>
      <c r="BH61" s="674">
        <f t="shared" si="96"/>
        <v>12347388.52598859</v>
      </c>
      <c r="BI61" s="675">
        <f t="shared" si="97"/>
        <v>15391448.45189557</v>
      </c>
      <c r="BJ61" s="725">
        <v>39</v>
      </c>
      <c r="BK61" s="671">
        <f>SUM('Schedule 3B_Income_Eastern:Schedule 3D_Income_The Cape'!BK61)</f>
        <v>1064.1600000000001</v>
      </c>
      <c r="BL61" s="671">
        <f>SUM('Schedule 3B_Income_Eastern:Schedule 3D_Income_The Cape'!BL61)</f>
        <v>25477.43</v>
      </c>
      <c r="BM61" s="671">
        <f>SUM('Schedule 3B_Income_Eastern:Schedule 3D_Income_The Cape'!BM61)</f>
        <v>958.14</v>
      </c>
      <c r="BN61" s="671">
        <f>SUM('Schedule 3B_Income_Eastern:Schedule 3D_Income_The Cape'!BN61)</f>
        <v>24594.77</v>
      </c>
      <c r="BO61" s="671">
        <f>SUM('Schedule 3B_Income_Eastern:Schedule 3D_Income_The Cape'!BO61)</f>
        <v>1237.0999999999999</v>
      </c>
      <c r="BP61" s="671">
        <f>SUM('Schedule 3B_Income_Eastern:Schedule 3D_Income_The Cape'!BP61)</f>
        <v>28371.15740481365</v>
      </c>
      <c r="BQ61" s="671">
        <f>SUM('Schedule 3B_Income_Eastern:Schedule 3D_Income_The Cape'!BQ61)</f>
        <v>1286.6099999999999</v>
      </c>
      <c r="BR61" s="671">
        <f>SUM('Schedule 3B_Income_Eastern:Schedule 3D_Income_The Cape'!BR61)</f>
        <v>22895.63</v>
      </c>
      <c r="BS61" s="672">
        <f t="shared" si="98"/>
        <v>105884.99740481365</v>
      </c>
      <c r="BT61" s="673">
        <f>SUM('Schedule 3B_Income_Eastern:Schedule 3D_Income_The Cape'!BT61)</f>
        <v>0</v>
      </c>
      <c r="BU61" s="671">
        <f>SUM('Schedule 3B_Income_Eastern:Schedule 3D_Income_The Cape'!BU61)</f>
        <v>107553.93999999999</v>
      </c>
      <c r="BV61" s="671">
        <f>SUM('Schedule 3B_Income_Eastern:Schedule 3D_Income_The Cape'!BV61)</f>
        <v>0</v>
      </c>
      <c r="BW61" s="671">
        <f>SUM('Schedule 3B_Income_Eastern:Schedule 3D_Income_The Cape'!BW61)</f>
        <v>103214.83</v>
      </c>
      <c r="BX61" s="671">
        <f>SUM('Schedule 3B_Income_Eastern:Schedule 3D_Income_The Cape'!BX61)</f>
        <v>0</v>
      </c>
      <c r="BY61" s="671">
        <f>SUM('Schedule 3B_Income_Eastern:Schedule 3D_Income_The Cape'!BY61)</f>
        <v>109461.83000000002</v>
      </c>
      <c r="BZ61" s="671">
        <f>SUM('Schedule 3B_Income_Eastern:Schedule 3D_Income_The Cape'!BZ61)</f>
        <v>0</v>
      </c>
      <c r="CA61" s="671">
        <f>SUM('Schedule 3B_Income_Eastern:Schedule 3D_Income_The Cape'!CA61)</f>
        <v>119746.54</v>
      </c>
      <c r="CB61" s="674">
        <f t="shared" si="99"/>
        <v>439977.13999999996</v>
      </c>
      <c r="CC61" s="675">
        <f t="shared" si="100"/>
        <v>545862.13740481366</v>
      </c>
      <c r="CD61" s="725">
        <v>39</v>
      </c>
      <c r="CE61" s="462">
        <f t="shared" si="101"/>
        <v>1058902.6099999999</v>
      </c>
      <c r="CF61" s="462">
        <f t="shared" si="102"/>
        <v>1150842.9566143756</v>
      </c>
      <c r="CG61" s="462">
        <f t="shared" si="103"/>
        <v>1218360.8407790959</v>
      </c>
      <c r="CH61" s="462">
        <f t="shared" si="104"/>
        <v>1013721.6119782897</v>
      </c>
      <c r="CI61" s="464">
        <f t="shared" si="105"/>
        <v>4441828.0193717601</v>
      </c>
      <c r="CJ61" s="462">
        <f t="shared" si="106"/>
        <v>4090522.38</v>
      </c>
      <c r="CK61" s="462">
        <f t="shared" si="107"/>
        <v>4540933.1845296621</v>
      </c>
      <c r="CL61" s="462">
        <f t="shared" si="108"/>
        <v>4701706.7821936999</v>
      </c>
      <c r="CM61" s="462">
        <f t="shared" si="109"/>
        <v>5001458.5786974989</v>
      </c>
      <c r="CN61" s="464">
        <f t="shared" si="110"/>
        <v>18334620.925420858</v>
      </c>
      <c r="CO61" s="462">
        <f t="shared" si="111"/>
        <v>5149424.99</v>
      </c>
      <c r="CP61" s="462">
        <f t="shared" si="112"/>
        <v>5691776.1411440363</v>
      </c>
      <c r="CQ61" s="462">
        <f t="shared" si="113"/>
        <v>5920067.6229727957</v>
      </c>
      <c r="CR61" s="462">
        <f t="shared" si="114"/>
        <v>6015180.1906757886</v>
      </c>
      <c r="CS61" s="464">
        <f t="shared" si="115"/>
        <v>22776448.944792621</v>
      </c>
      <c r="CT61" s="810"/>
      <c r="CU61" s="362"/>
      <c r="CW61" s="362"/>
    </row>
    <row r="62" spans="1:101" ht="15.75" customHeight="1" x14ac:dyDescent="0.25">
      <c r="A62" s="724" t="s">
        <v>317</v>
      </c>
      <c r="B62" s="725">
        <v>40</v>
      </c>
      <c r="C62" s="671">
        <f>SUM('Schedule 3B_Income_Eastern:Schedule 3D_Income_The Cape'!C62)</f>
        <v>0</v>
      </c>
      <c r="D62" s="671">
        <f>SUM('Schedule 3B_Income_Eastern:Schedule 3D_Income_The Cape'!D62)</f>
        <v>0</v>
      </c>
      <c r="E62" s="671">
        <f>SUM('Schedule 3B_Income_Eastern:Schedule 3D_Income_The Cape'!E62)</f>
        <v>0</v>
      </c>
      <c r="F62" s="671">
        <f>SUM('Schedule 3B_Income_Eastern:Schedule 3D_Income_The Cape'!F62)</f>
        <v>0</v>
      </c>
      <c r="G62" s="671">
        <f>SUM('Schedule 3B_Income_Eastern:Schedule 3D_Income_The Cape'!G62)</f>
        <v>0</v>
      </c>
      <c r="H62" s="671">
        <f>SUM('Schedule 3B_Income_Eastern:Schedule 3D_Income_The Cape'!H62)</f>
        <v>0</v>
      </c>
      <c r="I62" s="671">
        <f>SUM('Schedule 3B_Income_Eastern:Schedule 3D_Income_The Cape'!I62)</f>
        <v>0</v>
      </c>
      <c r="J62" s="671">
        <f>SUM('Schedule 3B_Income_Eastern:Schedule 3D_Income_The Cape'!J62)</f>
        <v>0</v>
      </c>
      <c r="K62" s="672">
        <f t="shared" si="89"/>
        <v>0</v>
      </c>
      <c r="L62" s="673">
        <f>SUM('Schedule 3B_Income_Eastern:Schedule 3D_Income_The Cape'!L62)</f>
        <v>0</v>
      </c>
      <c r="M62" s="671">
        <f>SUM('Schedule 3B_Income_Eastern:Schedule 3D_Income_The Cape'!M62)</f>
        <v>0</v>
      </c>
      <c r="N62" s="671">
        <f>SUM('Schedule 3B_Income_Eastern:Schedule 3D_Income_The Cape'!N62)</f>
        <v>0</v>
      </c>
      <c r="O62" s="671">
        <f>SUM('Schedule 3B_Income_Eastern:Schedule 3D_Income_The Cape'!O62)</f>
        <v>0</v>
      </c>
      <c r="P62" s="671">
        <f>SUM('Schedule 3B_Income_Eastern:Schedule 3D_Income_The Cape'!P62)</f>
        <v>0</v>
      </c>
      <c r="Q62" s="671">
        <f>SUM('Schedule 3B_Income_Eastern:Schedule 3D_Income_The Cape'!Q62)</f>
        <v>0</v>
      </c>
      <c r="R62" s="671">
        <f>SUM('Schedule 3B_Income_Eastern:Schedule 3D_Income_The Cape'!R62)</f>
        <v>0</v>
      </c>
      <c r="S62" s="671">
        <f>SUM('Schedule 3B_Income_Eastern:Schedule 3D_Income_The Cape'!S62)</f>
        <v>0</v>
      </c>
      <c r="T62" s="674">
        <f t="shared" si="90"/>
        <v>0</v>
      </c>
      <c r="U62" s="675">
        <f t="shared" si="91"/>
        <v>0</v>
      </c>
      <c r="V62" s="725">
        <v>40</v>
      </c>
      <c r="W62" s="671">
        <f>SUM('Schedule 3B_Income_Eastern:Schedule 3D_Income_The Cape'!W62)</f>
        <v>0</v>
      </c>
      <c r="X62" s="671">
        <f>SUM('Schedule 3B_Income_Eastern:Schedule 3D_Income_The Cape'!X62)</f>
        <v>0</v>
      </c>
      <c r="Y62" s="671">
        <f>SUM('Schedule 3B_Income_Eastern:Schedule 3D_Income_The Cape'!Y62)</f>
        <v>0</v>
      </c>
      <c r="Z62" s="671">
        <f>SUM('Schedule 3B_Income_Eastern:Schedule 3D_Income_The Cape'!Z62)</f>
        <v>0</v>
      </c>
      <c r="AA62" s="671">
        <f>SUM('Schedule 3B_Income_Eastern:Schedule 3D_Income_The Cape'!AA62)</f>
        <v>0</v>
      </c>
      <c r="AB62" s="671">
        <f>SUM('Schedule 3B_Income_Eastern:Schedule 3D_Income_The Cape'!AB62)</f>
        <v>0</v>
      </c>
      <c r="AC62" s="671">
        <f>SUM('Schedule 3B_Income_Eastern:Schedule 3D_Income_The Cape'!AC62)</f>
        <v>0</v>
      </c>
      <c r="AD62" s="671">
        <f>SUM('Schedule 3B_Income_Eastern:Schedule 3D_Income_The Cape'!AD62)</f>
        <v>0</v>
      </c>
      <c r="AE62" s="672">
        <f t="shared" si="92"/>
        <v>0</v>
      </c>
      <c r="AF62" s="673">
        <f>SUM('Schedule 3B_Income_Eastern:Schedule 3D_Income_The Cape'!AF62)</f>
        <v>0</v>
      </c>
      <c r="AG62" s="671">
        <f>SUM('Schedule 3B_Income_Eastern:Schedule 3D_Income_The Cape'!AG62)</f>
        <v>0</v>
      </c>
      <c r="AH62" s="671">
        <f>SUM('Schedule 3B_Income_Eastern:Schedule 3D_Income_The Cape'!AH62)</f>
        <v>0</v>
      </c>
      <c r="AI62" s="671">
        <f>SUM('Schedule 3B_Income_Eastern:Schedule 3D_Income_The Cape'!AI62)</f>
        <v>0</v>
      </c>
      <c r="AJ62" s="671">
        <f>SUM('Schedule 3B_Income_Eastern:Schedule 3D_Income_The Cape'!AJ62)</f>
        <v>0</v>
      </c>
      <c r="AK62" s="671">
        <f>SUM('Schedule 3B_Income_Eastern:Schedule 3D_Income_The Cape'!AK62)</f>
        <v>0</v>
      </c>
      <c r="AL62" s="671">
        <f>SUM('Schedule 3B_Income_Eastern:Schedule 3D_Income_The Cape'!AL62)</f>
        <v>0</v>
      </c>
      <c r="AM62" s="671">
        <f>SUM('Schedule 3B_Income_Eastern:Schedule 3D_Income_The Cape'!AM62)</f>
        <v>0</v>
      </c>
      <c r="AN62" s="674">
        <f t="shared" si="93"/>
        <v>0</v>
      </c>
      <c r="AO62" s="675">
        <f t="shared" si="94"/>
        <v>0</v>
      </c>
      <c r="AP62" s="725">
        <v>40</v>
      </c>
      <c r="AQ62" s="671">
        <f>SUM('Schedule 3B_Income_Eastern:Schedule 3D_Income_The Cape'!AQ62)</f>
        <v>0</v>
      </c>
      <c r="AR62" s="671">
        <f>SUM('Schedule 3B_Income_Eastern:Schedule 3D_Income_The Cape'!AR62)</f>
        <v>0</v>
      </c>
      <c r="AS62" s="671">
        <f>SUM('Schedule 3B_Income_Eastern:Schedule 3D_Income_The Cape'!AS62)</f>
        <v>0</v>
      </c>
      <c r="AT62" s="671">
        <f>SUM('Schedule 3B_Income_Eastern:Schedule 3D_Income_The Cape'!AT62)</f>
        <v>0</v>
      </c>
      <c r="AU62" s="671">
        <f>SUM('Schedule 3B_Income_Eastern:Schedule 3D_Income_The Cape'!AU62)</f>
        <v>0</v>
      </c>
      <c r="AV62" s="671">
        <f>SUM('Schedule 3B_Income_Eastern:Schedule 3D_Income_The Cape'!AV62)</f>
        <v>0</v>
      </c>
      <c r="AW62" s="671">
        <f>SUM('Schedule 3B_Income_Eastern:Schedule 3D_Income_The Cape'!AW62)</f>
        <v>0</v>
      </c>
      <c r="AX62" s="671">
        <f>SUM('Schedule 3B_Income_Eastern:Schedule 3D_Income_The Cape'!AX62)</f>
        <v>0</v>
      </c>
      <c r="AY62" s="672">
        <f t="shared" si="95"/>
        <v>0</v>
      </c>
      <c r="AZ62" s="673">
        <f>SUM('Schedule 3B_Income_Eastern:Schedule 3D_Income_The Cape'!AZ62)</f>
        <v>0</v>
      </c>
      <c r="BA62" s="671">
        <f>SUM('Schedule 3B_Income_Eastern:Schedule 3D_Income_The Cape'!BA62)</f>
        <v>0</v>
      </c>
      <c r="BB62" s="671">
        <f>SUM('Schedule 3B_Income_Eastern:Schedule 3D_Income_The Cape'!BB62)</f>
        <v>0</v>
      </c>
      <c r="BC62" s="671">
        <f>SUM('Schedule 3B_Income_Eastern:Schedule 3D_Income_The Cape'!BC62)</f>
        <v>0</v>
      </c>
      <c r="BD62" s="671">
        <f>SUM('Schedule 3B_Income_Eastern:Schedule 3D_Income_The Cape'!BD62)</f>
        <v>0</v>
      </c>
      <c r="BE62" s="671">
        <f>SUM('Schedule 3B_Income_Eastern:Schedule 3D_Income_The Cape'!BE62)</f>
        <v>0</v>
      </c>
      <c r="BF62" s="671">
        <f>SUM('Schedule 3B_Income_Eastern:Schedule 3D_Income_The Cape'!BF62)</f>
        <v>0</v>
      </c>
      <c r="BG62" s="671">
        <f>SUM('Schedule 3B_Income_Eastern:Schedule 3D_Income_The Cape'!BG62)</f>
        <v>0</v>
      </c>
      <c r="BH62" s="674">
        <f t="shared" si="96"/>
        <v>0</v>
      </c>
      <c r="BI62" s="675">
        <f t="shared" si="97"/>
        <v>0</v>
      </c>
      <c r="BJ62" s="725">
        <v>40</v>
      </c>
      <c r="BK62" s="671">
        <f>SUM('Schedule 3B_Income_Eastern:Schedule 3D_Income_The Cape'!BK62)</f>
        <v>0</v>
      </c>
      <c r="BL62" s="671">
        <f>SUM('Schedule 3B_Income_Eastern:Schedule 3D_Income_The Cape'!BL62)</f>
        <v>0</v>
      </c>
      <c r="BM62" s="671">
        <f>SUM('Schedule 3B_Income_Eastern:Schedule 3D_Income_The Cape'!BM62)</f>
        <v>0</v>
      </c>
      <c r="BN62" s="671">
        <f>SUM('Schedule 3B_Income_Eastern:Schedule 3D_Income_The Cape'!BN62)</f>
        <v>0</v>
      </c>
      <c r="BO62" s="671">
        <f>SUM('Schedule 3B_Income_Eastern:Schedule 3D_Income_The Cape'!BO62)</f>
        <v>0</v>
      </c>
      <c r="BP62" s="671">
        <f>SUM('Schedule 3B_Income_Eastern:Schedule 3D_Income_The Cape'!BP62)</f>
        <v>0</v>
      </c>
      <c r="BQ62" s="671">
        <f>SUM('Schedule 3B_Income_Eastern:Schedule 3D_Income_The Cape'!BQ62)</f>
        <v>0</v>
      </c>
      <c r="BR62" s="671">
        <f>SUM('Schedule 3B_Income_Eastern:Schedule 3D_Income_The Cape'!BR62)</f>
        <v>0</v>
      </c>
      <c r="BS62" s="672">
        <f t="shared" si="98"/>
        <v>0</v>
      </c>
      <c r="BT62" s="673">
        <f>SUM('Schedule 3B_Income_Eastern:Schedule 3D_Income_The Cape'!BT62)</f>
        <v>0</v>
      </c>
      <c r="BU62" s="671">
        <f>SUM('Schedule 3B_Income_Eastern:Schedule 3D_Income_The Cape'!BU62)</f>
        <v>0</v>
      </c>
      <c r="BV62" s="671">
        <f>SUM('Schedule 3B_Income_Eastern:Schedule 3D_Income_The Cape'!BV62)</f>
        <v>0</v>
      </c>
      <c r="BW62" s="671">
        <f>SUM('Schedule 3B_Income_Eastern:Schedule 3D_Income_The Cape'!BW62)</f>
        <v>0</v>
      </c>
      <c r="BX62" s="671">
        <f>SUM('Schedule 3B_Income_Eastern:Schedule 3D_Income_The Cape'!BX62)</f>
        <v>0</v>
      </c>
      <c r="BY62" s="671">
        <f>SUM('Schedule 3B_Income_Eastern:Schedule 3D_Income_The Cape'!BY62)</f>
        <v>0</v>
      </c>
      <c r="BZ62" s="671">
        <f>SUM('Schedule 3B_Income_Eastern:Schedule 3D_Income_The Cape'!BZ62)</f>
        <v>0</v>
      </c>
      <c r="CA62" s="671">
        <f>SUM('Schedule 3B_Income_Eastern:Schedule 3D_Income_The Cape'!CA62)</f>
        <v>0</v>
      </c>
      <c r="CB62" s="674">
        <f t="shared" si="99"/>
        <v>0</v>
      </c>
      <c r="CC62" s="675">
        <f t="shared" si="100"/>
        <v>0</v>
      </c>
      <c r="CD62" s="725">
        <v>40</v>
      </c>
      <c r="CE62" s="462">
        <f t="shared" si="101"/>
        <v>0</v>
      </c>
      <c r="CF62" s="462">
        <f t="shared" si="102"/>
        <v>0</v>
      </c>
      <c r="CG62" s="462">
        <f t="shared" si="103"/>
        <v>0</v>
      </c>
      <c r="CH62" s="462">
        <f t="shared" si="104"/>
        <v>0</v>
      </c>
      <c r="CI62" s="464">
        <f t="shared" si="105"/>
        <v>0</v>
      </c>
      <c r="CJ62" s="462">
        <f t="shared" si="106"/>
        <v>0</v>
      </c>
      <c r="CK62" s="462">
        <f t="shared" si="107"/>
        <v>0</v>
      </c>
      <c r="CL62" s="462">
        <f t="shared" si="108"/>
        <v>0</v>
      </c>
      <c r="CM62" s="462">
        <f t="shared" si="109"/>
        <v>0</v>
      </c>
      <c r="CN62" s="464">
        <f t="shared" si="110"/>
        <v>0</v>
      </c>
      <c r="CO62" s="462">
        <f t="shared" si="111"/>
        <v>0</v>
      </c>
      <c r="CP62" s="462">
        <f t="shared" si="112"/>
        <v>0</v>
      </c>
      <c r="CQ62" s="462">
        <f t="shared" si="113"/>
        <v>0</v>
      </c>
      <c r="CR62" s="462">
        <f t="shared" si="114"/>
        <v>0</v>
      </c>
      <c r="CS62" s="464">
        <f t="shared" si="115"/>
        <v>0</v>
      </c>
      <c r="CT62" s="810"/>
      <c r="CV62" s="812"/>
    </row>
    <row r="63" spans="1:101" ht="15.75" customHeight="1" x14ac:dyDescent="0.25">
      <c r="A63" s="724" t="s">
        <v>242</v>
      </c>
      <c r="B63" s="725">
        <v>41</v>
      </c>
      <c r="C63" s="671">
        <f>SUM('Schedule 3B_Income_Eastern:Schedule 3D_Income_The Cape'!C63)</f>
        <v>0</v>
      </c>
      <c r="D63" s="671">
        <f>SUM('Schedule 3B_Income_Eastern:Schedule 3D_Income_The Cape'!D63)</f>
        <v>0</v>
      </c>
      <c r="E63" s="671">
        <f>SUM('Schedule 3B_Income_Eastern:Schedule 3D_Income_The Cape'!E63)</f>
        <v>0</v>
      </c>
      <c r="F63" s="671">
        <f>SUM('Schedule 3B_Income_Eastern:Schedule 3D_Income_The Cape'!F63)</f>
        <v>0</v>
      </c>
      <c r="G63" s="671">
        <f>SUM('Schedule 3B_Income_Eastern:Schedule 3D_Income_The Cape'!G63)</f>
        <v>0</v>
      </c>
      <c r="H63" s="671">
        <f>SUM('Schedule 3B_Income_Eastern:Schedule 3D_Income_The Cape'!H63)</f>
        <v>0</v>
      </c>
      <c r="I63" s="671">
        <f>SUM('Schedule 3B_Income_Eastern:Schedule 3D_Income_The Cape'!I63)</f>
        <v>0</v>
      </c>
      <c r="J63" s="671">
        <f>SUM('Schedule 3B_Income_Eastern:Schedule 3D_Income_The Cape'!J63)</f>
        <v>0</v>
      </c>
      <c r="K63" s="672">
        <f t="shared" si="89"/>
        <v>0</v>
      </c>
      <c r="L63" s="673">
        <f>SUM('Schedule 3B_Income_Eastern:Schedule 3D_Income_The Cape'!L63)</f>
        <v>0</v>
      </c>
      <c r="M63" s="671">
        <f>SUM('Schedule 3B_Income_Eastern:Schedule 3D_Income_The Cape'!M63)</f>
        <v>0</v>
      </c>
      <c r="N63" s="671">
        <f>SUM('Schedule 3B_Income_Eastern:Schedule 3D_Income_The Cape'!N63)</f>
        <v>0</v>
      </c>
      <c r="O63" s="671">
        <f>SUM('Schedule 3B_Income_Eastern:Schedule 3D_Income_The Cape'!O63)</f>
        <v>0</v>
      </c>
      <c r="P63" s="671">
        <f>SUM('Schedule 3B_Income_Eastern:Schedule 3D_Income_The Cape'!P63)</f>
        <v>0</v>
      </c>
      <c r="Q63" s="671">
        <f>SUM('Schedule 3B_Income_Eastern:Schedule 3D_Income_The Cape'!Q63)</f>
        <v>0</v>
      </c>
      <c r="R63" s="671">
        <f>SUM('Schedule 3B_Income_Eastern:Schedule 3D_Income_The Cape'!R63)</f>
        <v>0</v>
      </c>
      <c r="S63" s="671">
        <f>SUM('Schedule 3B_Income_Eastern:Schedule 3D_Income_The Cape'!S63)</f>
        <v>0</v>
      </c>
      <c r="T63" s="674">
        <f t="shared" si="90"/>
        <v>0</v>
      </c>
      <c r="U63" s="675">
        <f t="shared" si="91"/>
        <v>0</v>
      </c>
      <c r="V63" s="725">
        <v>41</v>
      </c>
      <c r="W63" s="671">
        <f>SUM('Schedule 3B_Income_Eastern:Schedule 3D_Income_The Cape'!W63)</f>
        <v>0</v>
      </c>
      <c r="X63" s="671">
        <f>SUM('Schedule 3B_Income_Eastern:Schedule 3D_Income_The Cape'!X63)</f>
        <v>0</v>
      </c>
      <c r="Y63" s="671">
        <f>SUM('Schedule 3B_Income_Eastern:Schedule 3D_Income_The Cape'!Y63)</f>
        <v>0</v>
      </c>
      <c r="Z63" s="671">
        <f>SUM('Schedule 3B_Income_Eastern:Schedule 3D_Income_The Cape'!Z63)</f>
        <v>0</v>
      </c>
      <c r="AA63" s="671">
        <f>SUM('Schedule 3B_Income_Eastern:Schedule 3D_Income_The Cape'!AA63)</f>
        <v>0</v>
      </c>
      <c r="AB63" s="671">
        <f>SUM('Schedule 3B_Income_Eastern:Schedule 3D_Income_The Cape'!AB63)</f>
        <v>0</v>
      </c>
      <c r="AC63" s="671">
        <f>SUM('Schedule 3B_Income_Eastern:Schedule 3D_Income_The Cape'!AC63)</f>
        <v>0</v>
      </c>
      <c r="AD63" s="671">
        <f>SUM('Schedule 3B_Income_Eastern:Schedule 3D_Income_The Cape'!AD63)</f>
        <v>0</v>
      </c>
      <c r="AE63" s="672">
        <f t="shared" si="92"/>
        <v>0</v>
      </c>
      <c r="AF63" s="673">
        <f>SUM('Schedule 3B_Income_Eastern:Schedule 3D_Income_The Cape'!AF63)</f>
        <v>0</v>
      </c>
      <c r="AG63" s="671">
        <f>SUM('Schedule 3B_Income_Eastern:Schedule 3D_Income_The Cape'!AG63)</f>
        <v>0</v>
      </c>
      <c r="AH63" s="671">
        <f>SUM('Schedule 3B_Income_Eastern:Schedule 3D_Income_The Cape'!AH63)</f>
        <v>0</v>
      </c>
      <c r="AI63" s="671">
        <f>SUM('Schedule 3B_Income_Eastern:Schedule 3D_Income_The Cape'!AI63)</f>
        <v>0</v>
      </c>
      <c r="AJ63" s="671">
        <f>SUM('Schedule 3B_Income_Eastern:Schedule 3D_Income_The Cape'!AJ63)</f>
        <v>0</v>
      </c>
      <c r="AK63" s="671">
        <f>SUM('Schedule 3B_Income_Eastern:Schedule 3D_Income_The Cape'!AK63)</f>
        <v>0</v>
      </c>
      <c r="AL63" s="671">
        <f>SUM('Schedule 3B_Income_Eastern:Schedule 3D_Income_The Cape'!AL63)</f>
        <v>0</v>
      </c>
      <c r="AM63" s="671">
        <f>SUM('Schedule 3B_Income_Eastern:Schedule 3D_Income_The Cape'!AM63)</f>
        <v>0</v>
      </c>
      <c r="AN63" s="674">
        <f t="shared" si="93"/>
        <v>0</v>
      </c>
      <c r="AO63" s="675">
        <f t="shared" si="94"/>
        <v>0</v>
      </c>
      <c r="AP63" s="725">
        <v>41</v>
      </c>
      <c r="AQ63" s="671">
        <f>SUM('Schedule 3B_Income_Eastern:Schedule 3D_Income_The Cape'!AQ63)</f>
        <v>0</v>
      </c>
      <c r="AR63" s="671">
        <f>SUM('Schedule 3B_Income_Eastern:Schedule 3D_Income_The Cape'!AR63)</f>
        <v>0</v>
      </c>
      <c r="AS63" s="671">
        <f>SUM('Schedule 3B_Income_Eastern:Schedule 3D_Income_The Cape'!AS63)</f>
        <v>0</v>
      </c>
      <c r="AT63" s="671">
        <f>SUM('Schedule 3B_Income_Eastern:Schedule 3D_Income_The Cape'!AT63)</f>
        <v>0</v>
      </c>
      <c r="AU63" s="671">
        <f>SUM('Schedule 3B_Income_Eastern:Schedule 3D_Income_The Cape'!AU63)</f>
        <v>0</v>
      </c>
      <c r="AV63" s="671">
        <f>SUM('Schedule 3B_Income_Eastern:Schedule 3D_Income_The Cape'!AV63)</f>
        <v>0</v>
      </c>
      <c r="AW63" s="671">
        <f>SUM('Schedule 3B_Income_Eastern:Schedule 3D_Income_The Cape'!AW63)</f>
        <v>0</v>
      </c>
      <c r="AX63" s="671">
        <f>SUM('Schedule 3B_Income_Eastern:Schedule 3D_Income_The Cape'!AX63)</f>
        <v>0</v>
      </c>
      <c r="AY63" s="672">
        <f t="shared" si="95"/>
        <v>0</v>
      </c>
      <c r="AZ63" s="673">
        <f>SUM('Schedule 3B_Income_Eastern:Schedule 3D_Income_The Cape'!AZ63)</f>
        <v>0</v>
      </c>
      <c r="BA63" s="671">
        <f>SUM('Schedule 3B_Income_Eastern:Schedule 3D_Income_The Cape'!BA63)</f>
        <v>0</v>
      </c>
      <c r="BB63" s="671">
        <f>SUM('Schedule 3B_Income_Eastern:Schedule 3D_Income_The Cape'!BB63)</f>
        <v>0</v>
      </c>
      <c r="BC63" s="671">
        <f>SUM('Schedule 3B_Income_Eastern:Schedule 3D_Income_The Cape'!BC63)</f>
        <v>0</v>
      </c>
      <c r="BD63" s="671">
        <f>SUM('Schedule 3B_Income_Eastern:Schedule 3D_Income_The Cape'!BD63)</f>
        <v>0</v>
      </c>
      <c r="BE63" s="671">
        <f>SUM('Schedule 3B_Income_Eastern:Schedule 3D_Income_The Cape'!BE63)</f>
        <v>0</v>
      </c>
      <c r="BF63" s="671">
        <f>SUM('Schedule 3B_Income_Eastern:Schedule 3D_Income_The Cape'!BF63)</f>
        <v>0</v>
      </c>
      <c r="BG63" s="671">
        <f>SUM('Schedule 3B_Income_Eastern:Schedule 3D_Income_The Cape'!BG63)</f>
        <v>0</v>
      </c>
      <c r="BH63" s="674">
        <f t="shared" si="96"/>
        <v>0</v>
      </c>
      <c r="BI63" s="675">
        <f t="shared" si="97"/>
        <v>0</v>
      </c>
      <c r="BJ63" s="725">
        <v>41</v>
      </c>
      <c r="BK63" s="671">
        <f>SUM('Schedule 3B_Income_Eastern:Schedule 3D_Income_The Cape'!BK63)</f>
        <v>0</v>
      </c>
      <c r="BL63" s="671">
        <f>SUM('Schedule 3B_Income_Eastern:Schedule 3D_Income_The Cape'!BL63)</f>
        <v>0</v>
      </c>
      <c r="BM63" s="671">
        <f>SUM('Schedule 3B_Income_Eastern:Schedule 3D_Income_The Cape'!BM63)</f>
        <v>0</v>
      </c>
      <c r="BN63" s="671">
        <f>SUM('Schedule 3B_Income_Eastern:Schedule 3D_Income_The Cape'!BN63)</f>
        <v>0</v>
      </c>
      <c r="BO63" s="671">
        <f>SUM('Schedule 3B_Income_Eastern:Schedule 3D_Income_The Cape'!BO63)</f>
        <v>0</v>
      </c>
      <c r="BP63" s="671">
        <f>SUM('Schedule 3B_Income_Eastern:Schedule 3D_Income_The Cape'!BP63)</f>
        <v>0</v>
      </c>
      <c r="BQ63" s="671">
        <f>SUM('Schedule 3B_Income_Eastern:Schedule 3D_Income_The Cape'!BQ63)</f>
        <v>0</v>
      </c>
      <c r="BR63" s="671">
        <f>SUM('Schedule 3B_Income_Eastern:Schedule 3D_Income_The Cape'!BR63)</f>
        <v>0</v>
      </c>
      <c r="BS63" s="672">
        <f t="shared" si="98"/>
        <v>0</v>
      </c>
      <c r="BT63" s="673">
        <f>SUM('Schedule 3B_Income_Eastern:Schedule 3D_Income_The Cape'!BT63)</f>
        <v>0</v>
      </c>
      <c r="BU63" s="671">
        <f>SUM('Schedule 3B_Income_Eastern:Schedule 3D_Income_The Cape'!BU63)</f>
        <v>0</v>
      </c>
      <c r="BV63" s="671">
        <f>SUM('Schedule 3B_Income_Eastern:Schedule 3D_Income_The Cape'!BV63)</f>
        <v>0</v>
      </c>
      <c r="BW63" s="671">
        <f>SUM('Schedule 3B_Income_Eastern:Schedule 3D_Income_The Cape'!BW63)</f>
        <v>0</v>
      </c>
      <c r="BX63" s="671">
        <f>SUM('Schedule 3B_Income_Eastern:Schedule 3D_Income_The Cape'!BX63)</f>
        <v>0</v>
      </c>
      <c r="BY63" s="671">
        <f>SUM('Schedule 3B_Income_Eastern:Schedule 3D_Income_The Cape'!BY63)</f>
        <v>0</v>
      </c>
      <c r="BZ63" s="671">
        <f>SUM('Schedule 3B_Income_Eastern:Schedule 3D_Income_The Cape'!BZ63)</f>
        <v>0</v>
      </c>
      <c r="CA63" s="671">
        <f>SUM('Schedule 3B_Income_Eastern:Schedule 3D_Income_The Cape'!CA63)</f>
        <v>0</v>
      </c>
      <c r="CB63" s="674">
        <f t="shared" si="99"/>
        <v>0</v>
      </c>
      <c r="CC63" s="675">
        <f t="shared" si="100"/>
        <v>0</v>
      </c>
      <c r="CD63" s="725">
        <v>41</v>
      </c>
      <c r="CE63" s="462">
        <f t="shared" si="101"/>
        <v>0</v>
      </c>
      <c r="CF63" s="462">
        <f t="shared" si="102"/>
        <v>0</v>
      </c>
      <c r="CG63" s="462">
        <f t="shared" si="103"/>
        <v>0</v>
      </c>
      <c r="CH63" s="462">
        <f t="shared" si="104"/>
        <v>0</v>
      </c>
      <c r="CI63" s="464">
        <f t="shared" si="105"/>
        <v>0</v>
      </c>
      <c r="CJ63" s="462">
        <f t="shared" si="106"/>
        <v>0</v>
      </c>
      <c r="CK63" s="462">
        <f t="shared" si="107"/>
        <v>0</v>
      </c>
      <c r="CL63" s="462">
        <f t="shared" si="108"/>
        <v>0</v>
      </c>
      <c r="CM63" s="462">
        <f t="shared" si="109"/>
        <v>0</v>
      </c>
      <c r="CN63" s="464">
        <f t="shared" si="110"/>
        <v>0</v>
      </c>
      <c r="CO63" s="462">
        <f t="shared" si="111"/>
        <v>0</v>
      </c>
      <c r="CP63" s="462">
        <f t="shared" si="112"/>
        <v>0</v>
      </c>
      <c r="CQ63" s="462">
        <f t="shared" si="113"/>
        <v>0</v>
      </c>
      <c r="CR63" s="462">
        <f t="shared" si="114"/>
        <v>0</v>
      </c>
      <c r="CS63" s="464">
        <f t="shared" si="115"/>
        <v>0</v>
      </c>
      <c r="CV63" s="812"/>
    </row>
    <row r="64" spans="1:101" ht="15.75" customHeight="1" x14ac:dyDescent="0.25">
      <c r="A64" s="724" t="s">
        <v>1447</v>
      </c>
      <c r="B64" s="725">
        <v>42</v>
      </c>
      <c r="C64" s="671">
        <f>SUM('Schedule 3B_Income_Eastern:Schedule 3D_Income_The Cape'!C64)</f>
        <v>0</v>
      </c>
      <c r="D64" s="671">
        <f>SUM('Schedule 3B_Income_Eastern:Schedule 3D_Income_The Cape'!D64)</f>
        <v>0</v>
      </c>
      <c r="E64" s="671">
        <f>SUM('Schedule 3B_Income_Eastern:Schedule 3D_Income_The Cape'!E64)</f>
        <v>0</v>
      </c>
      <c r="F64" s="671">
        <f>SUM('Schedule 3B_Income_Eastern:Schedule 3D_Income_The Cape'!F64)</f>
        <v>0</v>
      </c>
      <c r="G64" s="671">
        <f>SUM('Schedule 3B_Income_Eastern:Schedule 3D_Income_The Cape'!G64)</f>
        <v>0</v>
      </c>
      <c r="H64" s="671">
        <f>SUM('Schedule 3B_Income_Eastern:Schedule 3D_Income_The Cape'!H64)</f>
        <v>0</v>
      </c>
      <c r="I64" s="671">
        <f>SUM('Schedule 3B_Income_Eastern:Schedule 3D_Income_The Cape'!I64)</f>
        <v>0</v>
      </c>
      <c r="J64" s="671">
        <f>SUM('Schedule 3B_Income_Eastern:Schedule 3D_Income_The Cape'!J64)</f>
        <v>0</v>
      </c>
      <c r="K64" s="672">
        <f t="shared" ref="K64" si="149">SUM(C64:J64)</f>
        <v>0</v>
      </c>
      <c r="L64" s="673">
        <f>SUM('Schedule 3B_Income_Eastern:Schedule 3D_Income_The Cape'!L64)</f>
        <v>0</v>
      </c>
      <c r="M64" s="671">
        <f>SUM('Schedule 3B_Income_Eastern:Schedule 3D_Income_The Cape'!M64)</f>
        <v>0</v>
      </c>
      <c r="N64" s="671">
        <f>SUM('Schedule 3B_Income_Eastern:Schedule 3D_Income_The Cape'!N64)</f>
        <v>0</v>
      </c>
      <c r="O64" s="671">
        <f>SUM('Schedule 3B_Income_Eastern:Schedule 3D_Income_The Cape'!O64)</f>
        <v>0</v>
      </c>
      <c r="P64" s="671">
        <f>SUM('Schedule 3B_Income_Eastern:Schedule 3D_Income_The Cape'!P64)</f>
        <v>0</v>
      </c>
      <c r="Q64" s="671">
        <f>SUM('Schedule 3B_Income_Eastern:Schedule 3D_Income_The Cape'!Q64)</f>
        <v>0</v>
      </c>
      <c r="R64" s="671">
        <f>SUM('Schedule 3B_Income_Eastern:Schedule 3D_Income_The Cape'!R64)</f>
        <v>0</v>
      </c>
      <c r="S64" s="671">
        <f>SUM('Schedule 3B_Income_Eastern:Schedule 3D_Income_The Cape'!S64)</f>
        <v>0</v>
      </c>
      <c r="T64" s="674">
        <f t="shared" ref="T64" si="150">SUM(L64:S64)</f>
        <v>0</v>
      </c>
      <c r="U64" s="675">
        <f t="shared" ref="U64" si="151">SUM(T64,K64)</f>
        <v>0</v>
      </c>
      <c r="V64" s="725">
        <v>42</v>
      </c>
      <c r="W64" s="671">
        <f>SUM('Schedule 3B_Income_Eastern:Schedule 3D_Income_The Cape'!W64)</f>
        <v>0</v>
      </c>
      <c r="X64" s="671">
        <f>SUM('Schedule 3B_Income_Eastern:Schedule 3D_Income_The Cape'!X64)</f>
        <v>0</v>
      </c>
      <c r="Y64" s="671">
        <f>SUM('Schedule 3B_Income_Eastern:Schedule 3D_Income_The Cape'!Y64)</f>
        <v>0</v>
      </c>
      <c r="Z64" s="671">
        <f>SUM('Schedule 3B_Income_Eastern:Schedule 3D_Income_The Cape'!Z64)</f>
        <v>0</v>
      </c>
      <c r="AA64" s="671">
        <f>SUM('Schedule 3B_Income_Eastern:Schedule 3D_Income_The Cape'!AA64)</f>
        <v>0</v>
      </c>
      <c r="AB64" s="671">
        <f>SUM('Schedule 3B_Income_Eastern:Schedule 3D_Income_The Cape'!AB64)</f>
        <v>0</v>
      </c>
      <c r="AC64" s="671">
        <f>SUM('Schedule 3B_Income_Eastern:Schedule 3D_Income_The Cape'!AC64)</f>
        <v>0</v>
      </c>
      <c r="AD64" s="671">
        <f>SUM('Schedule 3B_Income_Eastern:Schedule 3D_Income_The Cape'!AD64)</f>
        <v>0</v>
      </c>
      <c r="AE64" s="672">
        <f t="shared" ref="AE64" si="152">SUM(W64:AD64)</f>
        <v>0</v>
      </c>
      <c r="AF64" s="673">
        <f>SUM('Schedule 3B_Income_Eastern:Schedule 3D_Income_The Cape'!AF64)</f>
        <v>0</v>
      </c>
      <c r="AG64" s="671">
        <f>SUM('Schedule 3B_Income_Eastern:Schedule 3D_Income_The Cape'!AG64)</f>
        <v>0</v>
      </c>
      <c r="AH64" s="671">
        <f>SUM('Schedule 3B_Income_Eastern:Schedule 3D_Income_The Cape'!AH64)</f>
        <v>0</v>
      </c>
      <c r="AI64" s="671">
        <f>SUM('Schedule 3B_Income_Eastern:Schedule 3D_Income_The Cape'!AI64)</f>
        <v>0</v>
      </c>
      <c r="AJ64" s="671">
        <f>SUM('Schedule 3B_Income_Eastern:Schedule 3D_Income_The Cape'!AJ64)</f>
        <v>0</v>
      </c>
      <c r="AK64" s="671">
        <f>SUM('Schedule 3B_Income_Eastern:Schedule 3D_Income_The Cape'!AK64)</f>
        <v>0</v>
      </c>
      <c r="AL64" s="671">
        <f>SUM('Schedule 3B_Income_Eastern:Schedule 3D_Income_The Cape'!AL64)</f>
        <v>0</v>
      </c>
      <c r="AM64" s="671">
        <f>SUM('Schedule 3B_Income_Eastern:Schedule 3D_Income_The Cape'!AM64)</f>
        <v>0</v>
      </c>
      <c r="AN64" s="674">
        <f t="shared" ref="AN64" si="153">SUM(AF64:AM64)</f>
        <v>0</v>
      </c>
      <c r="AO64" s="675">
        <f t="shared" ref="AO64" si="154">SUM(AN64,AE64)</f>
        <v>0</v>
      </c>
      <c r="AP64" s="725">
        <v>42</v>
      </c>
      <c r="AQ64" s="671">
        <f>SUM('Schedule 3B_Income_Eastern:Schedule 3D_Income_The Cape'!AQ64)</f>
        <v>0</v>
      </c>
      <c r="AR64" s="671">
        <f>SUM('Schedule 3B_Income_Eastern:Schedule 3D_Income_The Cape'!AR64)</f>
        <v>0</v>
      </c>
      <c r="AS64" s="671">
        <f>SUM('Schedule 3B_Income_Eastern:Schedule 3D_Income_The Cape'!AS64)</f>
        <v>0</v>
      </c>
      <c r="AT64" s="671">
        <f>SUM('Schedule 3B_Income_Eastern:Schedule 3D_Income_The Cape'!AT64)</f>
        <v>0</v>
      </c>
      <c r="AU64" s="671">
        <f>SUM('Schedule 3B_Income_Eastern:Schedule 3D_Income_The Cape'!AU64)</f>
        <v>0</v>
      </c>
      <c r="AV64" s="671">
        <f>SUM('Schedule 3B_Income_Eastern:Schedule 3D_Income_The Cape'!AV64)</f>
        <v>0</v>
      </c>
      <c r="AW64" s="671">
        <f>SUM('Schedule 3B_Income_Eastern:Schedule 3D_Income_The Cape'!AW64)</f>
        <v>0</v>
      </c>
      <c r="AX64" s="671">
        <f>SUM('Schedule 3B_Income_Eastern:Schedule 3D_Income_The Cape'!AX64)</f>
        <v>0</v>
      </c>
      <c r="AY64" s="672">
        <f t="shared" ref="AY64" si="155">SUM(AQ64:AX64)</f>
        <v>0</v>
      </c>
      <c r="AZ64" s="673">
        <f>SUM('Schedule 3B_Income_Eastern:Schedule 3D_Income_The Cape'!AZ64)</f>
        <v>0</v>
      </c>
      <c r="BA64" s="671">
        <f>SUM('Schedule 3B_Income_Eastern:Schedule 3D_Income_The Cape'!BA64)</f>
        <v>0</v>
      </c>
      <c r="BB64" s="671">
        <f>SUM('Schedule 3B_Income_Eastern:Schedule 3D_Income_The Cape'!BB64)</f>
        <v>0</v>
      </c>
      <c r="BC64" s="671">
        <f>SUM('Schedule 3B_Income_Eastern:Schedule 3D_Income_The Cape'!BC64)</f>
        <v>0</v>
      </c>
      <c r="BD64" s="671">
        <f>SUM('Schedule 3B_Income_Eastern:Schedule 3D_Income_The Cape'!BD64)</f>
        <v>0</v>
      </c>
      <c r="BE64" s="671">
        <f>SUM('Schedule 3B_Income_Eastern:Schedule 3D_Income_The Cape'!BE64)</f>
        <v>0</v>
      </c>
      <c r="BF64" s="671">
        <f>SUM('Schedule 3B_Income_Eastern:Schedule 3D_Income_The Cape'!BF64)</f>
        <v>0</v>
      </c>
      <c r="BG64" s="671">
        <f>SUM('Schedule 3B_Income_Eastern:Schedule 3D_Income_The Cape'!BG64)</f>
        <v>0</v>
      </c>
      <c r="BH64" s="674">
        <f t="shared" ref="BH64" si="156">SUM(AZ64:BG64)</f>
        <v>0</v>
      </c>
      <c r="BI64" s="675">
        <f t="shared" ref="BI64" si="157">SUM(BH64,AY64)</f>
        <v>0</v>
      </c>
      <c r="BJ64" s="725">
        <v>42</v>
      </c>
      <c r="BK64" s="671">
        <f>SUM('Schedule 3B_Income_Eastern:Schedule 3D_Income_The Cape'!BK64)</f>
        <v>0</v>
      </c>
      <c r="BL64" s="671">
        <f>SUM('Schedule 3B_Income_Eastern:Schedule 3D_Income_The Cape'!BL64)</f>
        <v>0</v>
      </c>
      <c r="BM64" s="671">
        <f>SUM('Schedule 3B_Income_Eastern:Schedule 3D_Income_The Cape'!BM64)</f>
        <v>0</v>
      </c>
      <c r="BN64" s="671">
        <f>SUM('Schedule 3B_Income_Eastern:Schedule 3D_Income_The Cape'!BN64)</f>
        <v>0</v>
      </c>
      <c r="BO64" s="671">
        <f>SUM('Schedule 3B_Income_Eastern:Schedule 3D_Income_The Cape'!BO64)</f>
        <v>0</v>
      </c>
      <c r="BP64" s="671">
        <f>SUM('Schedule 3B_Income_Eastern:Schedule 3D_Income_The Cape'!BP64)</f>
        <v>0</v>
      </c>
      <c r="BQ64" s="671">
        <f>SUM('Schedule 3B_Income_Eastern:Schedule 3D_Income_The Cape'!BQ64)</f>
        <v>0</v>
      </c>
      <c r="BR64" s="671">
        <f>SUM('Schedule 3B_Income_Eastern:Schedule 3D_Income_The Cape'!BR64)</f>
        <v>0</v>
      </c>
      <c r="BS64" s="672">
        <f t="shared" ref="BS64" si="158">SUM(BK64:BR64)</f>
        <v>0</v>
      </c>
      <c r="BT64" s="673">
        <f>SUM('Schedule 3B_Income_Eastern:Schedule 3D_Income_The Cape'!BT64)</f>
        <v>0</v>
      </c>
      <c r="BU64" s="671">
        <f>SUM('Schedule 3B_Income_Eastern:Schedule 3D_Income_The Cape'!BU64)</f>
        <v>0</v>
      </c>
      <c r="BV64" s="671">
        <f>SUM('Schedule 3B_Income_Eastern:Schedule 3D_Income_The Cape'!BV64)</f>
        <v>0</v>
      </c>
      <c r="BW64" s="671">
        <f>SUM('Schedule 3B_Income_Eastern:Schedule 3D_Income_The Cape'!BW64)</f>
        <v>0</v>
      </c>
      <c r="BX64" s="671">
        <f>SUM('Schedule 3B_Income_Eastern:Schedule 3D_Income_The Cape'!BX64)</f>
        <v>0</v>
      </c>
      <c r="BY64" s="671">
        <f>SUM('Schedule 3B_Income_Eastern:Schedule 3D_Income_The Cape'!BY64)</f>
        <v>0</v>
      </c>
      <c r="BZ64" s="671">
        <f>SUM('Schedule 3B_Income_Eastern:Schedule 3D_Income_The Cape'!BZ64)</f>
        <v>0</v>
      </c>
      <c r="CA64" s="671">
        <f>SUM('Schedule 3B_Income_Eastern:Schedule 3D_Income_The Cape'!CA64)</f>
        <v>0</v>
      </c>
      <c r="CB64" s="674">
        <f t="shared" ref="CB64" si="159">SUM(BT64:CA64)</f>
        <v>0</v>
      </c>
      <c r="CC64" s="675">
        <f t="shared" ref="CC64" si="160">SUM(CB64,BS64)</f>
        <v>0</v>
      </c>
      <c r="CD64" s="725">
        <v>42</v>
      </c>
      <c r="CE64" s="462">
        <f t="shared" si="101"/>
        <v>0</v>
      </c>
      <c r="CF64" s="462">
        <f t="shared" si="102"/>
        <v>0</v>
      </c>
      <c r="CG64" s="462">
        <f t="shared" si="103"/>
        <v>0</v>
      </c>
      <c r="CH64" s="462">
        <f t="shared" si="104"/>
        <v>0</v>
      </c>
      <c r="CI64" s="464">
        <f t="shared" si="105"/>
        <v>0</v>
      </c>
      <c r="CJ64" s="462">
        <f t="shared" si="106"/>
        <v>0</v>
      </c>
      <c r="CK64" s="462">
        <f t="shared" si="107"/>
        <v>0</v>
      </c>
      <c r="CL64" s="462">
        <f t="shared" si="108"/>
        <v>0</v>
      </c>
      <c r="CM64" s="462">
        <f t="shared" si="109"/>
        <v>0</v>
      </c>
      <c r="CN64" s="464">
        <f t="shared" si="110"/>
        <v>0</v>
      </c>
      <c r="CO64" s="462">
        <f t="shared" si="111"/>
        <v>0</v>
      </c>
      <c r="CP64" s="462">
        <f t="shared" si="112"/>
        <v>0</v>
      </c>
      <c r="CQ64" s="462">
        <f t="shared" si="113"/>
        <v>0</v>
      </c>
      <c r="CR64" s="462">
        <f t="shared" si="114"/>
        <v>0</v>
      </c>
      <c r="CS64" s="464">
        <f t="shared" si="115"/>
        <v>0</v>
      </c>
    </row>
    <row r="65" spans="1:100" ht="15.75" customHeight="1" x14ac:dyDescent="0.25">
      <c r="A65" s="724"/>
      <c r="B65" s="725"/>
      <c r="C65" s="207" t="s">
        <v>32</v>
      </c>
      <c r="D65" s="207" t="s">
        <v>32</v>
      </c>
      <c r="E65" s="207" t="s">
        <v>32</v>
      </c>
      <c r="F65" s="207" t="s">
        <v>32</v>
      </c>
      <c r="G65" s="207" t="s">
        <v>32</v>
      </c>
      <c r="H65" s="207" t="s">
        <v>32</v>
      </c>
      <c r="I65" s="207" t="s">
        <v>32</v>
      </c>
      <c r="J65" s="207" t="s">
        <v>32</v>
      </c>
      <c r="K65" s="426"/>
      <c r="L65" s="427" t="s">
        <v>32</v>
      </c>
      <c r="M65" s="207" t="s">
        <v>32</v>
      </c>
      <c r="N65" s="207" t="s">
        <v>32</v>
      </c>
      <c r="O65" s="207" t="s">
        <v>32</v>
      </c>
      <c r="P65" s="207" t="s">
        <v>32</v>
      </c>
      <c r="Q65" s="207" t="s">
        <v>32</v>
      </c>
      <c r="R65" s="207" t="s">
        <v>32</v>
      </c>
      <c r="S65" s="207" t="s">
        <v>32</v>
      </c>
      <c r="T65" s="428"/>
      <c r="U65" s="427" t="s">
        <v>32</v>
      </c>
      <c r="V65" s="725"/>
      <c r="W65" s="207" t="s">
        <v>32</v>
      </c>
      <c r="X65" s="207" t="s">
        <v>32</v>
      </c>
      <c r="Y65" s="207" t="s">
        <v>32</v>
      </c>
      <c r="Z65" s="207" t="s">
        <v>32</v>
      </c>
      <c r="AA65" s="207" t="s">
        <v>32</v>
      </c>
      <c r="AB65" s="207" t="s">
        <v>32</v>
      </c>
      <c r="AC65" s="207" t="s">
        <v>32</v>
      </c>
      <c r="AD65" s="207" t="s">
        <v>32</v>
      </c>
      <c r="AE65" s="426"/>
      <c r="AF65" s="427" t="s">
        <v>32</v>
      </c>
      <c r="AG65" s="207" t="s">
        <v>32</v>
      </c>
      <c r="AH65" s="207" t="s">
        <v>32</v>
      </c>
      <c r="AI65" s="207" t="s">
        <v>32</v>
      </c>
      <c r="AJ65" s="207" t="s">
        <v>32</v>
      </c>
      <c r="AK65" s="207" t="s">
        <v>32</v>
      </c>
      <c r="AL65" s="207" t="s">
        <v>32</v>
      </c>
      <c r="AM65" s="207" t="s">
        <v>32</v>
      </c>
      <c r="AN65" s="428"/>
      <c r="AO65" s="427" t="s">
        <v>32</v>
      </c>
      <c r="AP65" s="725"/>
      <c r="AQ65" s="207" t="s">
        <v>32</v>
      </c>
      <c r="AR65" s="207" t="s">
        <v>32</v>
      </c>
      <c r="AS65" s="207" t="s">
        <v>32</v>
      </c>
      <c r="AT65" s="207" t="s">
        <v>32</v>
      </c>
      <c r="AU65" s="207" t="s">
        <v>32</v>
      </c>
      <c r="AV65" s="207" t="s">
        <v>32</v>
      </c>
      <c r="AW65" s="207" t="s">
        <v>32</v>
      </c>
      <c r="AX65" s="207" t="s">
        <v>32</v>
      </c>
      <c r="AY65" s="426"/>
      <c r="AZ65" s="427" t="s">
        <v>32</v>
      </c>
      <c r="BA65" s="207" t="s">
        <v>32</v>
      </c>
      <c r="BB65" s="207" t="s">
        <v>32</v>
      </c>
      <c r="BC65" s="207" t="s">
        <v>32</v>
      </c>
      <c r="BD65" s="207" t="s">
        <v>32</v>
      </c>
      <c r="BE65" s="207" t="s">
        <v>32</v>
      </c>
      <c r="BF65" s="207" t="s">
        <v>32</v>
      </c>
      <c r="BG65" s="207" t="s">
        <v>32</v>
      </c>
      <c r="BH65" s="428"/>
      <c r="BI65" s="427" t="s">
        <v>32</v>
      </c>
      <c r="BJ65" s="725"/>
      <c r="BK65" s="207" t="s">
        <v>32</v>
      </c>
      <c r="BL65" s="207" t="s">
        <v>32</v>
      </c>
      <c r="BM65" s="207" t="s">
        <v>32</v>
      </c>
      <c r="BN65" s="207" t="s">
        <v>32</v>
      </c>
      <c r="BO65" s="207" t="s">
        <v>32</v>
      </c>
      <c r="BP65" s="207" t="s">
        <v>32</v>
      </c>
      <c r="BQ65" s="207" t="s">
        <v>32</v>
      </c>
      <c r="BR65" s="207" t="s">
        <v>32</v>
      </c>
      <c r="BS65" s="426"/>
      <c r="BT65" s="427" t="s">
        <v>32</v>
      </c>
      <c r="BU65" s="207" t="s">
        <v>32</v>
      </c>
      <c r="BV65" s="207" t="s">
        <v>32</v>
      </c>
      <c r="BW65" s="207" t="s">
        <v>32</v>
      </c>
      <c r="BX65" s="207" t="s">
        <v>32</v>
      </c>
      <c r="BY65" s="207" t="s">
        <v>32</v>
      </c>
      <c r="BZ65" s="207" t="s">
        <v>32</v>
      </c>
      <c r="CA65" s="207" t="s">
        <v>32</v>
      </c>
      <c r="CB65" s="428"/>
      <c r="CC65" s="427" t="s">
        <v>32</v>
      </c>
      <c r="CD65" s="725"/>
      <c r="CE65" s="428"/>
      <c r="CF65" s="428"/>
      <c r="CG65" s="428"/>
      <c r="CH65" s="428"/>
      <c r="CI65" s="207"/>
      <c r="CJ65" s="428"/>
      <c r="CK65" s="428"/>
      <c r="CL65" s="428"/>
      <c r="CM65" s="428"/>
      <c r="CN65" s="207"/>
      <c r="CO65" s="428"/>
      <c r="CP65" s="428"/>
      <c r="CQ65" s="428"/>
      <c r="CR65" s="428"/>
      <c r="CS65" s="207"/>
    </row>
    <row r="66" spans="1:100" s="361" customFormat="1" ht="15.75" customHeight="1" x14ac:dyDescent="0.25">
      <c r="A66" s="301" t="s">
        <v>420</v>
      </c>
      <c r="B66" s="725">
        <v>43</v>
      </c>
      <c r="C66" s="236">
        <f>SUM(C35:C64)-C44-C46</f>
        <v>1518146.6368780942</v>
      </c>
      <c r="D66" s="236">
        <f t="shared" ref="D66:U66" si="161">SUM(D35:D64)-D44-D46</f>
        <v>4049878.7195578185</v>
      </c>
      <c r="E66" s="236">
        <f t="shared" si="161"/>
        <v>4324442.9577703793</v>
      </c>
      <c r="F66" s="236">
        <f t="shared" si="161"/>
        <v>9874664.8566679973</v>
      </c>
      <c r="G66" s="236">
        <f t="shared" si="161"/>
        <v>4340826.8135855589</v>
      </c>
      <c r="H66" s="236">
        <f t="shared" si="161"/>
        <v>9076529.5393240545</v>
      </c>
      <c r="I66" s="236">
        <f t="shared" si="161"/>
        <v>3849566.7314719004</v>
      </c>
      <c r="J66" s="236">
        <f t="shared" si="161"/>
        <v>7480316.3094802452</v>
      </c>
      <c r="K66" s="236">
        <f t="shared" si="161"/>
        <v>44514372.564736046</v>
      </c>
      <c r="L66" s="236">
        <f t="shared" si="161"/>
        <v>0</v>
      </c>
      <c r="M66" s="236">
        <f t="shared" si="161"/>
        <v>5474439.0752694365</v>
      </c>
      <c r="N66" s="236">
        <f t="shared" si="161"/>
        <v>0</v>
      </c>
      <c r="O66" s="236">
        <f t="shared" si="161"/>
        <v>12179987.506305469</v>
      </c>
      <c r="P66" s="236">
        <f t="shared" si="161"/>
        <v>0</v>
      </c>
      <c r="Q66" s="236">
        <f t="shared" si="161"/>
        <v>11606201.26261767</v>
      </c>
      <c r="R66" s="236">
        <f t="shared" si="161"/>
        <v>0</v>
      </c>
      <c r="S66" s="236">
        <f t="shared" si="161"/>
        <v>10600295.912897682</v>
      </c>
      <c r="T66" s="236">
        <f t="shared" si="161"/>
        <v>39860923.757090278</v>
      </c>
      <c r="U66" s="236">
        <f t="shared" si="161"/>
        <v>84375296.321826294</v>
      </c>
      <c r="V66" s="725">
        <v>43</v>
      </c>
      <c r="W66" s="236">
        <f>SUM(W35:W64)-W44-W46</f>
        <v>186820.9353043469</v>
      </c>
      <c r="X66" s="236">
        <f t="shared" ref="X66:AO66" si="162">SUM(X35:X64)-X44-X46</f>
        <v>881026.55844263278</v>
      </c>
      <c r="Y66" s="236">
        <f t="shared" si="162"/>
        <v>95780.704592350419</v>
      </c>
      <c r="Z66" s="236">
        <f t="shared" si="162"/>
        <v>743310.01475266705</v>
      </c>
      <c r="AA66" s="236">
        <f t="shared" si="162"/>
        <v>108249.16082592604</v>
      </c>
      <c r="AB66" s="236">
        <f t="shared" si="162"/>
        <v>679769.38235988829</v>
      </c>
      <c r="AC66" s="236">
        <f t="shared" si="162"/>
        <v>139700.14825742459</v>
      </c>
      <c r="AD66" s="236">
        <f t="shared" si="162"/>
        <v>716505.94418965082</v>
      </c>
      <c r="AE66" s="236">
        <f t="shared" si="162"/>
        <v>3551162.8487248868</v>
      </c>
      <c r="AF66" s="236">
        <f t="shared" si="162"/>
        <v>0</v>
      </c>
      <c r="AG66" s="236">
        <f t="shared" si="162"/>
        <v>2129114.3061646903</v>
      </c>
      <c r="AH66" s="236">
        <f t="shared" si="162"/>
        <v>0</v>
      </c>
      <c r="AI66" s="236">
        <f t="shared" si="162"/>
        <v>1553558.7065894841</v>
      </c>
      <c r="AJ66" s="236">
        <f t="shared" si="162"/>
        <v>0</v>
      </c>
      <c r="AK66" s="236">
        <f t="shared" si="162"/>
        <v>1675072.3847083671</v>
      </c>
      <c r="AL66" s="236">
        <f t="shared" si="162"/>
        <v>0</v>
      </c>
      <c r="AM66" s="236">
        <f t="shared" si="162"/>
        <v>1946446.6194638845</v>
      </c>
      <c r="AN66" s="236">
        <f t="shared" si="162"/>
        <v>7304192.0169264274</v>
      </c>
      <c r="AO66" s="236">
        <f t="shared" si="162"/>
        <v>10855354.865651315</v>
      </c>
      <c r="AP66" s="725">
        <v>43</v>
      </c>
      <c r="AQ66" s="236">
        <f>SUM(AQ35:AQ64)-AQ44-AQ46</f>
        <v>21949651.295312796</v>
      </c>
      <c r="AR66" s="236">
        <f t="shared" ref="AR66:BI66" si="163">SUM(AR35:AR64)-AR44-AR46</f>
        <v>49846548.307342052</v>
      </c>
      <c r="AS66" s="236">
        <f t="shared" si="163"/>
        <v>19665508.748373598</v>
      </c>
      <c r="AT66" s="236">
        <f t="shared" si="163"/>
        <v>47366747.113804087</v>
      </c>
      <c r="AU66" s="236">
        <f t="shared" si="163"/>
        <v>22502799.198292848</v>
      </c>
      <c r="AV66" s="236">
        <f t="shared" si="163"/>
        <v>51006587.469343603</v>
      </c>
      <c r="AW66" s="236">
        <f t="shared" si="163"/>
        <v>26234491.425002605</v>
      </c>
      <c r="AX66" s="236">
        <f t="shared" si="163"/>
        <v>54098408.254465885</v>
      </c>
      <c r="AY66" s="236">
        <f t="shared" si="163"/>
        <v>292670741.81193745</v>
      </c>
      <c r="AZ66" s="236">
        <f t="shared" si="163"/>
        <v>0</v>
      </c>
      <c r="BA66" s="236">
        <f t="shared" si="163"/>
        <v>41779797.497967258</v>
      </c>
      <c r="BB66" s="236">
        <f t="shared" si="163"/>
        <v>0</v>
      </c>
      <c r="BC66" s="236">
        <f t="shared" si="163"/>
        <v>39616574.906104058</v>
      </c>
      <c r="BD66" s="236">
        <f t="shared" si="163"/>
        <v>0</v>
      </c>
      <c r="BE66" s="236">
        <f t="shared" si="163"/>
        <v>43339679.509254999</v>
      </c>
      <c r="BF66" s="236">
        <f t="shared" si="163"/>
        <v>0</v>
      </c>
      <c r="BG66" s="236">
        <f t="shared" si="163"/>
        <v>46129661.386134297</v>
      </c>
      <c r="BH66" s="236">
        <f t="shared" si="163"/>
        <v>170865713.29946056</v>
      </c>
      <c r="BI66" s="236">
        <f t="shared" si="163"/>
        <v>463536455.11139816</v>
      </c>
      <c r="BJ66" s="725">
        <v>43</v>
      </c>
      <c r="BK66" s="236">
        <f>SUM(BK35:BK64)-BK44-BK46</f>
        <v>632852.87532334891</v>
      </c>
      <c r="BL66" s="236">
        <f t="shared" ref="BL66:CC66" si="164">SUM(BL35:BL64)-BL44-BL46</f>
        <v>6265525.7093889695</v>
      </c>
      <c r="BM66" s="236">
        <f t="shared" si="164"/>
        <v>496196.50419205183</v>
      </c>
      <c r="BN66" s="236">
        <f t="shared" si="164"/>
        <v>5271763.8562927395</v>
      </c>
      <c r="BO66" s="236">
        <f t="shared" si="164"/>
        <v>524948.01396148687</v>
      </c>
      <c r="BP66" s="236">
        <f t="shared" si="164"/>
        <v>5875311.0628042193</v>
      </c>
      <c r="BQ66" s="236">
        <f t="shared" si="164"/>
        <v>765851.34157964867</v>
      </c>
      <c r="BR66" s="236">
        <f t="shared" si="164"/>
        <v>6071938.7539557852</v>
      </c>
      <c r="BS66" s="236">
        <f t="shared" si="164"/>
        <v>25904388.117498256</v>
      </c>
      <c r="BT66" s="236">
        <f t="shared" si="164"/>
        <v>0</v>
      </c>
      <c r="BU66" s="236">
        <f t="shared" si="164"/>
        <v>2251105.3895941861</v>
      </c>
      <c r="BV66" s="236">
        <f t="shared" si="164"/>
        <v>0</v>
      </c>
      <c r="BW66" s="236">
        <f t="shared" si="164"/>
        <v>2617054.7512406856</v>
      </c>
      <c r="BX66" s="236">
        <f t="shared" si="164"/>
        <v>0</v>
      </c>
      <c r="BY66" s="236">
        <f t="shared" si="164"/>
        <v>2232327.2213444812</v>
      </c>
      <c r="BZ66" s="236">
        <f t="shared" si="164"/>
        <v>0</v>
      </c>
      <c r="CA66" s="236">
        <f t="shared" si="164"/>
        <v>2685714.2203878225</v>
      </c>
      <c r="CB66" s="236">
        <f t="shared" si="164"/>
        <v>9786201.5825671759</v>
      </c>
      <c r="CC66" s="236">
        <f t="shared" si="164"/>
        <v>35690589.700065427</v>
      </c>
      <c r="CD66" s="725">
        <v>43</v>
      </c>
      <c r="CE66" s="239">
        <f t="shared" ref="CE66:CH66" si="165">SUM(CE35:CE64)-CE44-CE46</f>
        <v>85330451.037550047</v>
      </c>
      <c r="CF66" s="239">
        <f t="shared" si="165"/>
        <v>87838414.756445885</v>
      </c>
      <c r="CG66" s="239">
        <f t="shared" si="165"/>
        <v>94115020.64049761</v>
      </c>
      <c r="CH66" s="239">
        <f t="shared" si="165"/>
        <v>99356778.908403158</v>
      </c>
      <c r="CI66" s="236">
        <f>SUM(BS66,AY66,AE66,K66)</f>
        <v>366640665.3428967</v>
      </c>
      <c r="CJ66" s="239">
        <f t="shared" ref="CJ66:CM66" si="166">SUM(CJ35:CJ64)-CJ44-CJ46</f>
        <v>51634456.268995583</v>
      </c>
      <c r="CK66" s="239">
        <f t="shared" si="166"/>
        <v>55967175.870239682</v>
      </c>
      <c r="CL66" s="239">
        <f t="shared" si="166"/>
        <v>58853280.377925508</v>
      </c>
      <c r="CM66" s="239">
        <f t="shared" si="166"/>
        <v>61362118.138883665</v>
      </c>
      <c r="CN66" s="236">
        <f>SUM(BX66,BD66,AJ66,P66)</f>
        <v>0</v>
      </c>
      <c r="CO66" s="239">
        <f>SUM(CO35:CO64)-CO44-CO46</f>
        <v>136964907.30654567</v>
      </c>
      <c r="CP66" s="239">
        <f t="shared" ref="CP66:CR66" si="167">SUM(CP35:CP64)-CP44-CP46</f>
        <v>143805590.62668562</v>
      </c>
      <c r="CQ66" s="239">
        <f t="shared" si="167"/>
        <v>152968301.01842314</v>
      </c>
      <c r="CR66" s="239">
        <f t="shared" si="167"/>
        <v>160718897.04728684</v>
      </c>
      <c r="CS66" s="236">
        <f>SUM(CC66,BI66,AO66,U66)</f>
        <v>594457695.99894118</v>
      </c>
      <c r="CU66" s="813"/>
      <c r="CV66" s="809"/>
    </row>
    <row r="67" spans="1:100" ht="15.75" customHeight="1" x14ac:dyDescent="0.25">
      <c r="A67" s="726"/>
      <c r="B67" s="725"/>
      <c r="C67" s="112"/>
      <c r="D67" s="112"/>
      <c r="E67" s="112"/>
      <c r="F67" s="112"/>
      <c r="G67" s="112"/>
      <c r="H67" s="112"/>
      <c r="I67" s="112"/>
      <c r="J67" s="112"/>
      <c r="K67" s="423"/>
      <c r="L67" s="424"/>
      <c r="M67" s="112"/>
      <c r="N67" s="112"/>
      <c r="O67" s="112"/>
      <c r="P67" s="112"/>
      <c r="Q67" s="112"/>
      <c r="R67" s="112"/>
      <c r="S67" s="112"/>
      <c r="T67" s="112"/>
      <c r="U67" s="425"/>
      <c r="V67" s="725"/>
      <c r="W67" s="112"/>
      <c r="X67" s="112"/>
      <c r="Y67" s="112"/>
      <c r="Z67" s="112"/>
      <c r="AA67" s="112"/>
      <c r="AB67" s="112"/>
      <c r="AC67" s="112"/>
      <c r="AD67" s="112"/>
      <c r="AE67" s="423"/>
      <c r="AF67" s="424"/>
      <c r="AG67" s="112"/>
      <c r="AH67" s="112"/>
      <c r="AI67" s="112"/>
      <c r="AJ67" s="112"/>
      <c r="AK67" s="112"/>
      <c r="AL67" s="112"/>
      <c r="AM67" s="112"/>
      <c r="AN67" s="112"/>
      <c r="AO67" s="425"/>
      <c r="AP67" s="725"/>
      <c r="AQ67" s="112"/>
      <c r="AR67" s="112"/>
      <c r="AS67" s="112"/>
      <c r="AT67" s="112"/>
      <c r="AU67" s="112"/>
      <c r="AV67" s="112"/>
      <c r="AW67" s="112"/>
      <c r="AX67" s="112"/>
      <c r="AY67" s="423"/>
      <c r="AZ67" s="424"/>
      <c r="BA67" s="112"/>
      <c r="BB67" s="112"/>
      <c r="BC67" s="112"/>
      <c r="BD67" s="112"/>
      <c r="BE67" s="112"/>
      <c r="BF67" s="112"/>
      <c r="BG67" s="112"/>
      <c r="BH67" s="112"/>
      <c r="BI67" s="425"/>
      <c r="BJ67" s="725"/>
      <c r="BK67" s="112"/>
      <c r="BL67" s="112"/>
      <c r="BM67" s="112"/>
      <c r="BN67" s="112"/>
      <c r="BO67" s="112"/>
      <c r="BP67" s="112"/>
      <c r="BQ67" s="112"/>
      <c r="BR67" s="112"/>
      <c r="BS67" s="423"/>
      <c r="BT67" s="424"/>
      <c r="BU67" s="112"/>
      <c r="BV67" s="112"/>
      <c r="BW67" s="112"/>
      <c r="BX67" s="112"/>
      <c r="BY67" s="112"/>
      <c r="BZ67" s="112"/>
      <c r="CA67" s="112"/>
      <c r="CB67" s="112"/>
      <c r="CC67" s="425"/>
      <c r="CD67" s="725"/>
      <c r="CE67" s="198"/>
      <c r="CF67" s="198"/>
      <c r="CG67" s="198"/>
      <c r="CH67" s="198"/>
      <c r="CI67" s="467"/>
      <c r="CJ67" s="198"/>
      <c r="CK67" s="198"/>
      <c r="CL67" s="198"/>
      <c r="CM67" s="198"/>
      <c r="CN67" s="467"/>
      <c r="CO67" s="198"/>
      <c r="CP67" s="198"/>
      <c r="CQ67" s="198"/>
      <c r="CR67" s="198"/>
      <c r="CS67" s="467"/>
    </row>
    <row r="68" spans="1:100" ht="15.75" customHeight="1" x14ac:dyDescent="0.25">
      <c r="A68" s="301" t="s">
        <v>314</v>
      </c>
      <c r="B68" s="725"/>
      <c r="C68" s="207" t="s">
        <v>32</v>
      </c>
      <c r="D68" s="207" t="s">
        <v>32</v>
      </c>
      <c r="E68" s="207" t="s">
        <v>32</v>
      </c>
      <c r="F68" s="207" t="s">
        <v>32</v>
      </c>
      <c r="G68" s="207" t="s">
        <v>32</v>
      </c>
      <c r="H68" s="207" t="s">
        <v>32</v>
      </c>
      <c r="I68" s="207" t="s">
        <v>32</v>
      </c>
      <c r="J68" s="207" t="s">
        <v>32</v>
      </c>
      <c r="K68" s="426"/>
      <c r="L68" s="427" t="s">
        <v>32</v>
      </c>
      <c r="M68" s="207" t="s">
        <v>32</v>
      </c>
      <c r="N68" s="207" t="s">
        <v>32</v>
      </c>
      <c r="O68" s="207" t="s">
        <v>32</v>
      </c>
      <c r="P68" s="207" t="s">
        <v>32</v>
      </c>
      <c r="Q68" s="207" t="s">
        <v>32</v>
      </c>
      <c r="R68" s="207" t="s">
        <v>32</v>
      </c>
      <c r="S68" s="207" t="s">
        <v>32</v>
      </c>
      <c r="T68" s="428"/>
      <c r="U68" s="427" t="s">
        <v>32</v>
      </c>
      <c r="V68" s="725"/>
      <c r="W68" s="207" t="s">
        <v>32</v>
      </c>
      <c r="X68" s="207" t="s">
        <v>32</v>
      </c>
      <c r="Y68" s="207" t="s">
        <v>32</v>
      </c>
      <c r="Z68" s="207" t="s">
        <v>32</v>
      </c>
      <c r="AA68" s="207" t="s">
        <v>32</v>
      </c>
      <c r="AB68" s="207" t="s">
        <v>32</v>
      </c>
      <c r="AC68" s="207" t="s">
        <v>32</v>
      </c>
      <c r="AD68" s="207" t="s">
        <v>32</v>
      </c>
      <c r="AE68" s="426"/>
      <c r="AF68" s="427" t="s">
        <v>32</v>
      </c>
      <c r="AG68" s="207" t="s">
        <v>32</v>
      </c>
      <c r="AH68" s="207" t="s">
        <v>32</v>
      </c>
      <c r="AI68" s="207" t="s">
        <v>32</v>
      </c>
      <c r="AJ68" s="207" t="s">
        <v>32</v>
      </c>
      <c r="AK68" s="207" t="s">
        <v>32</v>
      </c>
      <c r="AL68" s="207" t="s">
        <v>32</v>
      </c>
      <c r="AM68" s="207" t="s">
        <v>32</v>
      </c>
      <c r="AN68" s="428"/>
      <c r="AO68" s="427" t="s">
        <v>32</v>
      </c>
      <c r="AP68" s="725"/>
      <c r="AQ68" s="207" t="s">
        <v>32</v>
      </c>
      <c r="AR68" s="207" t="s">
        <v>32</v>
      </c>
      <c r="AS68" s="207" t="s">
        <v>32</v>
      </c>
      <c r="AT68" s="207" t="s">
        <v>32</v>
      </c>
      <c r="AU68" s="207" t="s">
        <v>32</v>
      </c>
      <c r="AV68" s="207" t="s">
        <v>32</v>
      </c>
      <c r="AW68" s="207" t="s">
        <v>32</v>
      </c>
      <c r="AX68" s="207" t="s">
        <v>32</v>
      </c>
      <c r="AY68" s="426"/>
      <c r="AZ68" s="427" t="s">
        <v>32</v>
      </c>
      <c r="BA68" s="207" t="s">
        <v>32</v>
      </c>
      <c r="BB68" s="207" t="s">
        <v>32</v>
      </c>
      <c r="BC68" s="207" t="s">
        <v>32</v>
      </c>
      <c r="BD68" s="207" t="s">
        <v>32</v>
      </c>
      <c r="BE68" s="207" t="s">
        <v>32</v>
      </c>
      <c r="BF68" s="207" t="s">
        <v>32</v>
      </c>
      <c r="BG68" s="207" t="s">
        <v>32</v>
      </c>
      <c r="BH68" s="428"/>
      <c r="BI68" s="427" t="s">
        <v>32</v>
      </c>
      <c r="BJ68" s="725"/>
      <c r="BK68" s="207" t="s">
        <v>32</v>
      </c>
      <c r="BL68" s="207" t="s">
        <v>32</v>
      </c>
      <c r="BM68" s="207" t="s">
        <v>32</v>
      </c>
      <c r="BN68" s="207" t="s">
        <v>32</v>
      </c>
      <c r="BO68" s="207" t="s">
        <v>32</v>
      </c>
      <c r="BP68" s="207" t="s">
        <v>32</v>
      </c>
      <c r="BQ68" s="207" t="s">
        <v>32</v>
      </c>
      <c r="BR68" s="207" t="s">
        <v>32</v>
      </c>
      <c r="BS68" s="426"/>
      <c r="BT68" s="427" t="s">
        <v>32</v>
      </c>
      <c r="BU68" s="207" t="s">
        <v>32</v>
      </c>
      <c r="BV68" s="207" t="s">
        <v>32</v>
      </c>
      <c r="BW68" s="207" t="s">
        <v>32</v>
      </c>
      <c r="BX68" s="207" t="s">
        <v>32</v>
      </c>
      <c r="BY68" s="207" t="s">
        <v>32</v>
      </c>
      <c r="BZ68" s="207" t="s">
        <v>32</v>
      </c>
      <c r="CA68" s="207" t="s">
        <v>32</v>
      </c>
      <c r="CB68" s="428"/>
      <c r="CC68" s="427" t="s">
        <v>32</v>
      </c>
      <c r="CD68" s="725"/>
      <c r="CE68" s="198"/>
      <c r="CF68" s="198"/>
      <c r="CG68" s="198"/>
      <c r="CH68" s="198"/>
      <c r="CI68" s="467"/>
      <c r="CJ68" s="198"/>
      <c r="CK68" s="198"/>
      <c r="CL68" s="198"/>
      <c r="CM68" s="198"/>
      <c r="CN68" s="467"/>
      <c r="CO68" s="198"/>
      <c r="CP68" s="198"/>
      <c r="CQ68" s="198"/>
      <c r="CR68" s="198"/>
      <c r="CS68" s="467"/>
    </row>
    <row r="69" spans="1:100" ht="15.75" customHeight="1" x14ac:dyDescent="0.25">
      <c r="A69" s="724" t="s">
        <v>241</v>
      </c>
      <c r="B69" s="725">
        <v>44</v>
      </c>
      <c r="C69" s="671">
        <f>SUM('Schedule 3B_Income_Eastern:Schedule 3D_Income_The Cape'!C69)</f>
        <v>4494.1476341066582</v>
      </c>
      <c r="D69" s="671">
        <f>SUM('Schedule 3B_Income_Eastern:Schedule 3D_Income_The Cape'!D69)</f>
        <v>9450.6338959713648</v>
      </c>
      <c r="E69" s="671">
        <f>SUM('Schedule 3B_Income_Eastern:Schedule 3D_Income_The Cape'!E69)</f>
        <v>4578.1713900516652</v>
      </c>
      <c r="F69" s="671">
        <f>SUM('Schedule 3B_Income_Eastern:Schedule 3D_Income_The Cape'!F69)</f>
        <v>9693.4696843934053</v>
      </c>
      <c r="G69" s="671">
        <f>SUM('Schedule 3B_Income_Eastern:Schedule 3D_Income_The Cape'!G69)</f>
        <v>8722.1126589250107</v>
      </c>
      <c r="H69" s="671">
        <f>SUM('Schedule 3B_Income_Eastern:Schedule 3D_Income_The Cape'!H69)</f>
        <v>18699.184026311363</v>
      </c>
      <c r="I69" s="671">
        <f>SUM('Schedule 3B_Income_Eastern:Schedule 3D_Income_The Cape'!I69)</f>
        <v>6548.5319396506056</v>
      </c>
      <c r="J69" s="671">
        <f>SUM('Schedule 3B_Income_Eastern:Schedule 3D_Income_The Cape'!J69)</f>
        <v>13703.421437347717</v>
      </c>
      <c r="K69" s="672">
        <f>SUM(C69:J69)</f>
        <v>75889.67266675779</v>
      </c>
      <c r="L69" s="673">
        <f>SUM('Schedule 3B_Income_Eastern:Schedule 3D_Income_The Cape'!L69)</f>
        <v>0</v>
      </c>
      <c r="M69" s="671">
        <f>SUM('Schedule 3B_Income_Eastern:Schedule 3D_Income_The Cape'!M69)</f>
        <v>14773.705810809945</v>
      </c>
      <c r="N69" s="671">
        <f>SUM('Schedule 3B_Income_Eastern:Schedule 3D_Income_The Cape'!N69)</f>
        <v>0</v>
      </c>
      <c r="O69" s="671">
        <f>SUM('Schedule 3B_Income_Eastern:Schedule 3D_Income_The Cape'!O69)</f>
        <v>13725.795556851845</v>
      </c>
      <c r="P69" s="671">
        <f>SUM('Schedule 3B_Income_Eastern:Schedule 3D_Income_The Cape'!P69)</f>
        <v>0</v>
      </c>
      <c r="Q69" s="671">
        <f>SUM('Schedule 3B_Income_Eastern:Schedule 3D_Income_The Cape'!Q69)</f>
        <v>33684.37713603663</v>
      </c>
      <c r="R69" s="671">
        <f>SUM('Schedule 3B_Income_Eastern:Schedule 3D_Income_The Cape'!R69)</f>
        <v>0</v>
      </c>
      <c r="S69" s="671">
        <f>SUM('Schedule 3B_Income_Eastern:Schedule 3D_Income_The Cape'!S69)</f>
        <v>22902.472173851511</v>
      </c>
      <c r="T69" s="674">
        <f>SUM(L69:S69)</f>
        <v>85086.350677549926</v>
      </c>
      <c r="U69" s="675">
        <f>SUM(T69,K69)</f>
        <v>160976.02334430773</v>
      </c>
      <c r="V69" s="725">
        <v>44</v>
      </c>
      <c r="W69" s="671">
        <f>SUM('Schedule 3B_Income_Eastern:Schedule 3D_Income_The Cape'!W69)</f>
        <v>734.42994953717573</v>
      </c>
      <c r="X69" s="671">
        <f>SUM('Schedule 3B_Income_Eastern:Schedule 3D_Income_The Cape'!X69)</f>
        <v>4879.9892391647272</v>
      </c>
      <c r="Y69" s="671">
        <f>SUM('Schedule 3B_Income_Eastern:Schedule 3D_Income_The Cape'!Y69)</f>
        <v>723.42621098345774</v>
      </c>
      <c r="Z69" s="671">
        <f>SUM('Schedule 3B_Income_Eastern:Schedule 3D_Income_The Cape'!Z69)</f>
        <v>4630.4678232745055</v>
      </c>
      <c r="AA69" s="671">
        <f>SUM('Schedule 3B_Income_Eastern:Schedule 3D_Income_The Cape'!AA69)</f>
        <v>1305.665114546081</v>
      </c>
      <c r="AB69" s="671">
        <f>SUM('Schedule 3B_Income_Eastern:Schedule 3D_Income_The Cape'!AB69)</f>
        <v>8590.9181928266698</v>
      </c>
      <c r="AC69" s="671">
        <f>SUM('Schedule 3B_Income_Eastern:Schedule 3D_Income_The Cape'!AC69)</f>
        <v>1056.7729736509332</v>
      </c>
      <c r="AD69" s="671">
        <f>SUM('Schedule 3B_Income_Eastern:Schedule 3D_Income_The Cape'!AD69)</f>
        <v>6432.1467672297858</v>
      </c>
      <c r="AE69" s="672">
        <f>SUM(W69:AD69)</f>
        <v>28353.816271213334</v>
      </c>
      <c r="AF69" s="673">
        <f>SUM('Schedule 3B_Income_Eastern:Schedule 3D_Income_The Cape'!AF69)</f>
        <v>0</v>
      </c>
      <c r="AG69" s="671">
        <f>SUM('Schedule 3B_Income_Eastern:Schedule 3D_Income_The Cape'!AG69)</f>
        <v>4962.0237359483235</v>
      </c>
      <c r="AH69" s="671">
        <f>SUM('Schedule 3B_Income_Eastern:Schedule 3D_Income_The Cape'!AH69)</f>
        <v>0</v>
      </c>
      <c r="AI69" s="671">
        <f>SUM('Schedule 3B_Income_Eastern:Schedule 3D_Income_The Cape'!AI69)</f>
        <v>4156.8936777368572</v>
      </c>
      <c r="AJ69" s="671">
        <f>SUM('Schedule 3B_Income_Eastern:Schedule 3D_Income_The Cape'!AJ69)</f>
        <v>0</v>
      </c>
      <c r="AK69" s="671">
        <f>SUM('Schedule 3B_Income_Eastern:Schedule 3D_Income_The Cape'!AK69)</f>
        <v>9966.8784905754947</v>
      </c>
      <c r="AL69" s="671">
        <f>SUM('Schedule 3B_Income_Eastern:Schedule 3D_Income_The Cape'!AL69)</f>
        <v>0</v>
      </c>
      <c r="AM69" s="671">
        <f>SUM('Schedule 3B_Income_Eastern:Schedule 3D_Income_The Cape'!AM69)</f>
        <v>6836.6245985684709</v>
      </c>
      <c r="AN69" s="674">
        <f>SUM(AF69:AM69)</f>
        <v>25922.420502829147</v>
      </c>
      <c r="AO69" s="675">
        <f>SUM(AN69,AE69)</f>
        <v>54276.236774042482</v>
      </c>
      <c r="AP69" s="725">
        <v>44</v>
      </c>
      <c r="AQ69" s="671">
        <f>SUM('Schedule 3B_Income_Eastern:Schedule 3D_Income_The Cape'!AQ69)</f>
        <v>80359.335208060656</v>
      </c>
      <c r="AR69" s="671">
        <f>SUM('Schedule 3B_Income_Eastern:Schedule 3D_Income_The Cape'!AR69)</f>
        <v>190019.50821461773</v>
      </c>
      <c r="AS69" s="671">
        <f>SUM('Schedule 3B_Income_Eastern:Schedule 3D_Income_The Cape'!AS69)</f>
        <v>85348.126578612661</v>
      </c>
      <c r="AT69" s="671">
        <f>SUM('Schedule 3B_Income_Eastern:Schedule 3D_Income_The Cape'!AT69)</f>
        <v>198425.85484995937</v>
      </c>
      <c r="AU69" s="671">
        <f>SUM('Schedule 3B_Income_Eastern:Schedule 3D_Income_The Cape'!AU69)</f>
        <v>165922.50171021445</v>
      </c>
      <c r="AV69" s="671">
        <f>SUM('Schedule 3B_Income_Eastern:Schedule 3D_Income_The Cape'!AV69)</f>
        <v>386787.91352703888</v>
      </c>
      <c r="AW69" s="671">
        <f>SUM('Schedule 3B_Income_Eastern:Schedule 3D_Income_The Cape'!AW69)</f>
        <v>129538.95103746034</v>
      </c>
      <c r="AX69" s="671">
        <f>SUM('Schedule 3B_Income_Eastern:Schedule 3D_Income_The Cape'!AX69)</f>
        <v>291629.28153752489</v>
      </c>
      <c r="AY69" s="672">
        <f>SUM(AQ69:AX69)</f>
        <v>1528031.4726634889</v>
      </c>
      <c r="AZ69" s="673">
        <f>SUM('Schedule 3B_Income_Eastern:Schedule 3D_Income_The Cape'!AZ69)</f>
        <v>0</v>
      </c>
      <c r="BA69" s="671">
        <f>SUM('Schedule 3B_Income_Eastern:Schedule 3D_Income_The Cape'!BA69)</f>
        <v>115111.93250722658</v>
      </c>
      <c r="BB69" s="671">
        <f>SUM('Schedule 3B_Income_Eastern:Schedule 3D_Income_The Cape'!BB69)</f>
        <v>0</v>
      </c>
      <c r="BC69" s="671">
        <f>SUM('Schedule 3B_Income_Eastern:Schedule 3D_Income_The Cape'!BC69)</f>
        <v>95850.764857040442</v>
      </c>
      <c r="BD69" s="671">
        <f>SUM('Schedule 3B_Income_Eastern:Schedule 3D_Income_The Cape'!BD69)</f>
        <v>0</v>
      </c>
      <c r="BE69" s="671">
        <f>SUM('Schedule 3B_Income_Eastern:Schedule 3D_Income_The Cape'!BE69)</f>
        <v>247902.81608377397</v>
      </c>
      <c r="BF69" s="671">
        <f>SUM('Schedule 3B_Income_Eastern:Schedule 3D_Income_The Cape'!BF69)</f>
        <v>0</v>
      </c>
      <c r="BG69" s="671">
        <f>SUM('Schedule 3B_Income_Eastern:Schedule 3D_Income_The Cape'!BG69)</f>
        <v>168363.87339291582</v>
      </c>
      <c r="BH69" s="674">
        <f>SUM(AZ69:BG69)</f>
        <v>627229.38684095675</v>
      </c>
      <c r="BI69" s="675">
        <f>SUM(BH69,AY69)</f>
        <v>2155260.8595044455</v>
      </c>
      <c r="BJ69" s="725">
        <v>44</v>
      </c>
      <c r="BK69" s="671">
        <f>SUM('Schedule 3B_Income_Eastern:Schedule 3D_Income_The Cape'!BK69)</f>
        <v>1798.1991302707734</v>
      </c>
      <c r="BL69" s="671">
        <f>SUM('Schedule 3B_Income_Eastern:Schedule 3D_Income_The Cape'!BL69)</f>
        <v>20230.572642575607</v>
      </c>
      <c r="BM69" s="671">
        <f>SUM('Schedule 3B_Income_Eastern:Schedule 3D_Income_The Cape'!BM69)</f>
        <v>1835.0590673494257</v>
      </c>
      <c r="BN69" s="671">
        <f>SUM('Schedule 3B_Income_Eastern:Schedule 3D_Income_The Cape'!BN69)</f>
        <v>19673.446866354749</v>
      </c>
      <c r="BO69" s="671">
        <f>SUM('Schedule 3B_Income_Eastern:Schedule 3D_Income_The Cape'!BO69)</f>
        <v>3211.6418793332596</v>
      </c>
      <c r="BP69" s="671">
        <f>SUM('Schedule 3B_Income_Eastern:Schedule 3D_Income_The Cape'!BP69)</f>
        <v>35365.580496928604</v>
      </c>
      <c r="BQ69" s="671">
        <f>SUM('Schedule 3B_Income_Eastern:Schedule 3D_Income_The Cape'!BQ69)</f>
        <v>2782.4409547253481</v>
      </c>
      <c r="BR69" s="671">
        <f>SUM('Schedule 3B_Income_Eastern:Schedule 3D_Income_The Cape'!BR69)</f>
        <v>26514.350987624177</v>
      </c>
      <c r="BS69" s="672">
        <f>SUM(BK69:BR69)</f>
        <v>111411.29202516194</v>
      </c>
      <c r="BT69" s="673">
        <f>SUM('Schedule 3B_Income_Eastern:Schedule 3D_Income_The Cape'!BT69)</f>
        <v>0</v>
      </c>
      <c r="BU69" s="671">
        <f>SUM('Schedule 3B_Income_Eastern:Schedule 3D_Income_The Cape'!BU69)</f>
        <v>4516.1454013293896</v>
      </c>
      <c r="BV69" s="671">
        <f>SUM('Schedule 3B_Income_Eastern:Schedule 3D_Income_The Cape'!BV69)</f>
        <v>0</v>
      </c>
      <c r="BW69" s="671">
        <f>SUM('Schedule 3B_Income_Eastern:Schedule 3D_Income_The Cape'!BW69)</f>
        <v>4009.4899582320695</v>
      </c>
      <c r="BX69" s="671">
        <f>SUM('Schedule 3B_Income_Eastern:Schedule 3D_Income_The Cape'!BX69)</f>
        <v>0</v>
      </c>
      <c r="BY69" s="671">
        <f>SUM('Schedule 3B_Income_Eastern:Schedule 3D_Income_The Cape'!BY69)</f>
        <v>9466.8253722885856</v>
      </c>
      <c r="BZ69" s="671">
        <f>SUM('Schedule 3B_Income_Eastern:Schedule 3D_Income_The Cape'!BZ69)</f>
        <v>0</v>
      </c>
      <c r="CA69" s="671">
        <f>SUM('Schedule 3B_Income_Eastern:Schedule 3D_Income_The Cape'!CA69)</f>
        <v>7569.6468706697688</v>
      </c>
      <c r="CB69" s="674">
        <f>SUM(BT69:CA69)</f>
        <v>25562.107602519813</v>
      </c>
      <c r="CC69" s="675">
        <f>SUM(CB69,BS69)</f>
        <v>136973.39962768176</v>
      </c>
      <c r="CD69" s="725">
        <v>44</v>
      </c>
      <c r="CE69" s="462">
        <f t="shared" ref="CE69:CE71" si="168">+C69+D69+W69+X69+AQ69+AR69+BK69+BL69</f>
        <v>311966.81591430469</v>
      </c>
      <c r="CF69" s="462">
        <f t="shared" ref="CF69:CF71" si="169">+E69+F69+Y69+Z69+AS69+AT69+BM69+BN69</f>
        <v>324908.02247097919</v>
      </c>
      <c r="CG69" s="462">
        <f t="shared" ref="CG69:CG71" si="170">+G69+H69+AA69+AB69+AU69+AV69+BO69+BP69</f>
        <v>628605.5176061244</v>
      </c>
      <c r="CH69" s="462">
        <f t="shared" ref="CH69:CH71" si="171">+I69+J69+AC69+AD69+AW69+AX69+BQ69+BR69</f>
        <v>478205.89763521386</v>
      </c>
      <c r="CI69" s="464">
        <f t="shared" ref="CI69:CI71" si="172">SUM(K69,AE69,AY69,BS69)</f>
        <v>1743686.253626622</v>
      </c>
      <c r="CJ69" s="462">
        <f t="shared" ref="CJ69:CJ71" si="173">L69+M69+AF69+AG69+AZ69+BA69+BT69+BU69</f>
        <v>139363.80745531424</v>
      </c>
      <c r="CK69" s="462">
        <f t="shared" ref="CK69:CK71" si="174">N69+O69+AH69+AI69+BB69+BC69+BV69+BW69</f>
        <v>117742.94404986121</v>
      </c>
      <c r="CL69" s="462">
        <f t="shared" ref="CL69:CL71" si="175">P69+Q69+AJ69+AK69+BD69+BE69+BX69+BY69</f>
        <v>301020.89708267467</v>
      </c>
      <c r="CM69" s="462">
        <f t="shared" ref="CM69:CM71" si="176">+R69+S69+AL69+AM69+BF69+BG69+BZ69+CA69</f>
        <v>205672.61703600557</v>
      </c>
      <c r="CN69" s="464">
        <f t="shared" ref="CN69:CN71" si="177">SUM(T69,AN69,BH69,CB69)</f>
        <v>763800.26562385564</v>
      </c>
      <c r="CO69" s="462">
        <f t="shared" ref="CO69:CO71" si="178">+C69+D69+L69+M69+W69+X69+AF69+AG69+AQ69+AR69+AZ69+BA69+BK69+BL69+BT69+BU69</f>
        <v>451330.6233696189</v>
      </c>
      <c r="CP69" s="462">
        <f t="shared" ref="CP69:CP71" si="179">+E69+F69+N69+O69+Y69+Z69+AH69+AI69+AS69+AT69+BB69+BC69+BM69+BN69+BV69+BW69</f>
        <v>442650.96652084042</v>
      </c>
      <c r="CQ69" s="462">
        <f t="shared" ref="CQ69:CQ71" si="180">+G69+H69+P69+Q69+AA69+AB69+AJ69+AK69+AU69+AV69+BD69+BE69+BO69+BP69+BX69+BY69</f>
        <v>929626.41468879906</v>
      </c>
      <c r="CR69" s="462">
        <f t="shared" ref="CR69:CR71" si="181">+I69+J69+R69+S69+AC69+AD69+AL69+AM69+AW69+AX69+BF69+BG69+BQ69+BR69+BZ69+CA69</f>
        <v>683878.5146712194</v>
      </c>
      <c r="CS69" s="464">
        <f t="shared" ref="CS69:CS71" si="182">SUM(CC69,BI69,AO69,U69)</f>
        <v>2507486.5192504772</v>
      </c>
    </row>
    <row r="70" spans="1:100" ht="15.75" customHeight="1" x14ac:dyDescent="0.25">
      <c r="A70" s="724" t="s">
        <v>318</v>
      </c>
      <c r="B70" s="725">
        <v>45</v>
      </c>
      <c r="C70" s="671">
        <f t="shared" ref="C70" si="183">IF(ABS(C62)&lt;C83, -C62, C83)</f>
        <v>0</v>
      </c>
      <c r="D70" s="671">
        <f t="shared" ref="D70:J70" si="184">IF(ABS(D62)&lt;D83, -D62, D83)</f>
        <v>0</v>
      </c>
      <c r="E70" s="671">
        <f t="shared" si="184"/>
        <v>0</v>
      </c>
      <c r="F70" s="671">
        <f t="shared" si="184"/>
        <v>0</v>
      </c>
      <c r="G70" s="671">
        <f t="shared" si="184"/>
        <v>0</v>
      </c>
      <c r="H70" s="671">
        <f t="shared" si="184"/>
        <v>0</v>
      </c>
      <c r="I70" s="671">
        <f t="shared" si="184"/>
        <v>0</v>
      </c>
      <c r="J70" s="671">
        <f t="shared" si="184"/>
        <v>0</v>
      </c>
      <c r="K70" s="672">
        <f t="shared" ref="K70" si="185">SUM(C70:J70)</f>
        <v>0</v>
      </c>
      <c r="L70" s="673">
        <f t="shared" ref="L70:S70" si="186">IF(ABS(L62)&lt;L83, -L62, L83)</f>
        <v>0</v>
      </c>
      <c r="M70" s="671">
        <f t="shared" si="186"/>
        <v>0</v>
      </c>
      <c r="N70" s="671">
        <f t="shared" si="186"/>
        <v>0</v>
      </c>
      <c r="O70" s="671">
        <f t="shared" si="186"/>
        <v>0</v>
      </c>
      <c r="P70" s="671">
        <f t="shared" si="186"/>
        <v>0</v>
      </c>
      <c r="Q70" s="671">
        <f t="shared" si="186"/>
        <v>0</v>
      </c>
      <c r="R70" s="671">
        <f t="shared" si="186"/>
        <v>0</v>
      </c>
      <c r="S70" s="671">
        <f t="shared" si="186"/>
        <v>0</v>
      </c>
      <c r="T70" s="674">
        <f t="shared" ref="T70" si="187">SUM(L70:S70)</f>
        <v>0</v>
      </c>
      <c r="U70" s="675">
        <f t="shared" ref="U70" si="188">SUM(T70,K70)</f>
        <v>0</v>
      </c>
      <c r="V70" s="725">
        <v>45</v>
      </c>
      <c r="W70" s="671">
        <f t="shared" ref="W70:AD70" si="189">IF(ABS(W62)&lt;W83, -W62, W83)</f>
        <v>0</v>
      </c>
      <c r="X70" s="671">
        <f t="shared" si="189"/>
        <v>0</v>
      </c>
      <c r="Y70" s="671">
        <f t="shared" si="189"/>
        <v>0</v>
      </c>
      <c r="Z70" s="671">
        <f t="shared" si="189"/>
        <v>0</v>
      </c>
      <c r="AA70" s="671">
        <f t="shared" si="189"/>
        <v>0</v>
      </c>
      <c r="AB70" s="671">
        <f t="shared" si="189"/>
        <v>0</v>
      </c>
      <c r="AC70" s="671">
        <f t="shared" si="189"/>
        <v>0</v>
      </c>
      <c r="AD70" s="671">
        <f t="shared" si="189"/>
        <v>0</v>
      </c>
      <c r="AE70" s="672">
        <f t="shared" ref="AE70" si="190">SUM(W70:AD70)</f>
        <v>0</v>
      </c>
      <c r="AF70" s="673">
        <f t="shared" ref="AF70:AM70" si="191">IF(ABS(AF62)&lt;AF83, -AF62, AF83)</f>
        <v>0</v>
      </c>
      <c r="AG70" s="671">
        <f t="shared" si="191"/>
        <v>0</v>
      </c>
      <c r="AH70" s="671">
        <f t="shared" si="191"/>
        <v>0</v>
      </c>
      <c r="AI70" s="671">
        <f t="shared" si="191"/>
        <v>0</v>
      </c>
      <c r="AJ70" s="671">
        <f t="shared" si="191"/>
        <v>0</v>
      </c>
      <c r="AK70" s="671">
        <f t="shared" si="191"/>
        <v>0</v>
      </c>
      <c r="AL70" s="671">
        <f t="shared" si="191"/>
        <v>0</v>
      </c>
      <c r="AM70" s="671">
        <f t="shared" si="191"/>
        <v>0</v>
      </c>
      <c r="AN70" s="674">
        <f t="shared" ref="AN70" si="192">SUM(AF70:AM70)</f>
        <v>0</v>
      </c>
      <c r="AO70" s="675">
        <f t="shared" ref="AO70" si="193">SUM(AN70,AE70)</f>
        <v>0</v>
      </c>
      <c r="AP70" s="725">
        <v>45</v>
      </c>
      <c r="AQ70" s="671">
        <f t="shared" ref="AQ70:AX70" si="194">IF(ABS(AQ62)&lt;AQ83, -AQ62, AQ83)</f>
        <v>0</v>
      </c>
      <c r="AR70" s="671">
        <f t="shared" si="194"/>
        <v>0</v>
      </c>
      <c r="AS70" s="671">
        <f t="shared" si="194"/>
        <v>0</v>
      </c>
      <c r="AT70" s="671">
        <f t="shared" si="194"/>
        <v>0</v>
      </c>
      <c r="AU70" s="671">
        <f t="shared" si="194"/>
        <v>0</v>
      </c>
      <c r="AV70" s="671">
        <f t="shared" si="194"/>
        <v>0</v>
      </c>
      <c r="AW70" s="671">
        <f t="shared" si="194"/>
        <v>0</v>
      </c>
      <c r="AX70" s="671">
        <f t="shared" si="194"/>
        <v>0</v>
      </c>
      <c r="AY70" s="672">
        <f t="shared" ref="AY70" si="195">SUM(AQ70:AX70)</f>
        <v>0</v>
      </c>
      <c r="AZ70" s="673">
        <f t="shared" ref="AZ70:BG70" si="196">IF(ABS(AZ62)&lt;AZ83, -AZ62, AZ83)</f>
        <v>0</v>
      </c>
      <c r="BA70" s="671">
        <f t="shared" si="196"/>
        <v>0</v>
      </c>
      <c r="BB70" s="671">
        <f t="shared" si="196"/>
        <v>0</v>
      </c>
      <c r="BC70" s="671">
        <f t="shared" si="196"/>
        <v>0</v>
      </c>
      <c r="BD70" s="671">
        <f t="shared" si="196"/>
        <v>0</v>
      </c>
      <c r="BE70" s="671">
        <f t="shared" si="196"/>
        <v>0</v>
      </c>
      <c r="BF70" s="671">
        <f t="shared" si="196"/>
        <v>0</v>
      </c>
      <c r="BG70" s="671">
        <f t="shared" si="196"/>
        <v>0</v>
      </c>
      <c r="BH70" s="674">
        <f t="shared" ref="BH70" si="197">SUM(AZ70:BG70)</f>
        <v>0</v>
      </c>
      <c r="BI70" s="675">
        <f t="shared" ref="BI70" si="198">SUM(BH70,AY70)</f>
        <v>0</v>
      </c>
      <c r="BJ70" s="725">
        <v>45</v>
      </c>
      <c r="BK70" s="671">
        <f t="shared" ref="BK70:BR70" si="199">IF(ABS(BK62)&lt;BK83, -BK62, BK83)</f>
        <v>0</v>
      </c>
      <c r="BL70" s="671">
        <f t="shared" si="199"/>
        <v>0</v>
      </c>
      <c r="BM70" s="671">
        <f t="shared" si="199"/>
        <v>0</v>
      </c>
      <c r="BN70" s="671">
        <f t="shared" si="199"/>
        <v>0</v>
      </c>
      <c r="BO70" s="671">
        <f t="shared" si="199"/>
        <v>0</v>
      </c>
      <c r="BP70" s="671">
        <f t="shared" si="199"/>
        <v>0</v>
      </c>
      <c r="BQ70" s="671">
        <f t="shared" si="199"/>
        <v>0</v>
      </c>
      <c r="BR70" s="671">
        <f t="shared" si="199"/>
        <v>0</v>
      </c>
      <c r="BS70" s="672">
        <f t="shared" ref="BS70" si="200">SUM(BK70:BR70)</f>
        <v>0</v>
      </c>
      <c r="BT70" s="673">
        <f t="shared" ref="BT70:CA70" si="201">IF(ABS(BT62)&lt;BT83, -BT62, BT83)</f>
        <v>0</v>
      </c>
      <c r="BU70" s="671">
        <f t="shared" si="201"/>
        <v>0</v>
      </c>
      <c r="BV70" s="671">
        <f t="shared" si="201"/>
        <v>0</v>
      </c>
      <c r="BW70" s="671">
        <f t="shared" si="201"/>
        <v>0</v>
      </c>
      <c r="BX70" s="671">
        <f t="shared" si="201"/>
        <v>0</v>
      </c>
      <c r="BY70" s="671">
        <f t="shared" si="201"/>
        <v>0</v>
      </c>
      <c r="BZ70" s="671">
        <f t="shared" si="201"/>
        <v>0</v>
      </c>
      <c r="CA70" s="671">
        <f t="shared" si="201"/>
        <v>0</v>
      </c>
      <c r="CB70" s="674">
        <f t="shared" ref="CB70" si="202">SUM(BT70:CA70)</f>
        <v>0</v>
      </c>
      <c r="CC70" s="675">
        <f t="shared" ref="CC70" si="203">SUM(CB70,BS70)</f>
        <v>0</v>
      </c>
      <c r="CD70" s="725">
        <v>45</v>
      </c>
      <c r="CE70" s="462">
        <f t="shared" si="168"/>
        <v>0</v>
      </c>
      <c r="CF70" s="462">
        <f t="shared" si="169"/>
        <v>0</v>
      </c>
      <c r="CG70" s="462">
        <f t="shared" si="170"/>
        <v>0</v>
      </c>
      <c r="CH70" s="462">
        <f t="shared" si="171"/>
        <v>0</v>
      </c>
      <c r="CI70" s="464">
        <f t="shared" si="172"/>
        <v>0</v>
      </c>
      <c r="CJ70" s="462">
        <f t="shared" si="173"/>
        <v>0</v>
      </c>
      <c r="CK70" s="462">
        <f t="shared" si="174"/>
        <v>0</v>
      </c>
      <c r="CL70" s="462">
        <f t="shared" si="175"/>
        <v>0</v>
      </c>
      <c r="CM70" s="462">
        <f t="shared" si="176"/>
        <v>0</v>
      </c>
      <c r="CN70" s="464">
        <f t="shared" si="177"/>
        <v>0</v>
      </c>
      <c r="CO70" s="462">
        <f t="shared" si="178"/>
        <v>0</v>
      </c>
      <c r="CP70" s="462">
        <f t="shared" si="179"/>
        <v>0</v>
      </c>
      <c r="CQ70" s="462">
        <f t="shared" si="180"/>
        <v>0</v>
      </c>
      <c r="CR70" s="462">
        <f t="shared" si="181"/>
        <v>0</v>
      </c>
      <c r="CS70" s="464">
        <f t="shared" si="182"/>
        <v>0</v>
      </c>
    </row>
    <row r="71" spans="1:100" ht="15.75" customHeight="1" x14ac:dyDescent="0.25">
      <c r="A71" s="94" t="s">
        <v>514</v>
      </c>
      <c r="B71" s="343">
        <v>46</v>
      </c>
      <c r="C71" s="671">
        <f>SUM('Schedule 3B_Income_Eastern:Schedule 3D_Income_The Cape'!C71)</f>
        <v>35898.345700549879</v>
      </c>
      <c r="D71" s="671">
        <f>SUM('Schedule 3B_Income_Eastern:Schedule 3D_Income_The Cape'!D71)</f>
        <v>75489.759195316845</v>
      </c>
      <c r="E71" s="671">
        <f>SUM('Schedule 3B_Income_Eastern:Schedule 3D_Income_The Cape'!E71)</f>
        <v>40293.472307594471</v>
      </c>
      <c r="F71" s="671">
        <f>SUM('Schedule 3B_Income_Eastern:Schedule 3D_Income_The Cape'!F71)</f>
        <v>85314.314169484263</v>
      </c>
      <c r="G71" s="671">
        <f>SUM('Schedule 3B_Income_Eastern:Schedule 3D_Income_The Cape'!G71)</f>
        <v>39648.08600001462</v>
      </c>
      <c r="H71" s="671">
        <f>SUM('Schedule 3B_Income_Eastern:Schedule 3D_Income_The Cape'!H71)</f>
        <v>85000.834705644316</v>
      </c>
      <c r="I71" s="671">
        <f>SUM('Schedule 3B_Income_Eastern:Schedule 3D_Income_The Cape'!I71)</f>
        <v>41792.425193087649</v>
      </c>
      <c r="J71" s="671">
        <f>SUM('Schedule 3B_Income_Eastern:Schedule 3D_Income_The Cape'!J71)</f>
        <v>87454.596020534053</v>
      </c>
      <c r="K71" s="672">
        <f>SUM(C71:J71)</f>
        <v>490891.83329222607</v>
      </c>
      <c r="L71" s="673">
        <f>SUM('Schedule 3B_Income_Eastern:Schedule 3D_Income_The Cape'!L71)</f>
        <v>0</v>
      </c>
      <c r="M71" s="671">
        <f>SUM('Schedule 3B_Income_Eastern:Schedule 3D_Income_The Cape'!M71)</f>
        <v>182251.17628575169</v>
      </c>
      <c r="N71" s="671">
        <f>SUM('Schedule 3B_Income_Eastern:Schedule 3D_Income_The Cape'!N71)</f>
        <v>0</v>
      </c>
      <c r="O71" s="671">
        <f>SUM('Schedule 3B_Income_Eastern:Schedule 3D_Income_The Cape'!O71)</f>
        <v>178770.12834181765</v>
      </c>
      <c r="P71" s="671">
        <f>SUM('Schedule 3B_Income_Eastern:Schedule 3D_Income_The Cape'!P71)</f>
        <v>0</v>
      </c>
      <c r="Q71" s="671">
        <f>SUM('Schedule 3B_Income_Eastern:Schedule 3D_Income_The Cape'!Q71)</f>
        <v>184462.16297794454</v>
      </c>
      <c r="R71" s="671">
        <f>SUM('Schedule 3B_Income_Eastern:Schedule 3D_Income_The Cape'!R71)</f>
        <v>0</v>
      </c>
      <c r="S71" s="671">
        <f>SUM('Schedule 3B_Income_Eastern:Schedule 3D_Income_The Cape'!S71)</f>
        <v>187768.18086467695</v>
      </c>
      <c r="T71" s="674">
        <f>SUM(L71:S71)</f>
        <v>733251.64847019082</v>
      </c>
      <c r="U71" s="675">
        <f>SUM(T71,K71)</f>
        <v>1224143.4817624169</v>
      </c>
      <c r="V71" s="343">
        <v>46</v>
      </c>
      <c r="W71" s="671">
        <f>SUM('Schedule 3B_Income_Eastern:Schedule 3D_Income_The Cape'!W71)</f>
        <v>5866.4784443744029</v>
      </c>
      <c r="X71" s="671">
        <f>SUM('Schedule 3B_Income_Eastern:Schedule 3D_Income_The Cape'!X71)</f>
        <v>38980.370692099328</v>
      </c>
      <c r="Y71" s="671">
        <f>SUM('Schedule 3B_Income_Eastern:Schedule 3D_Income_The Cape'!Y71)</f>
        <v>6367.0298718373233</v>
      </c>
      <c r="Z71" s="671">
        <f>SUM('Schedule 3B_Income_Eastern:Schedule 3D_Income_The Cape'!Z71)</f>
        <v>40753.744478363224</v>
      </c>
      <c r="AA71" s="671">
        <f>SUM('Schedule 3B_Income_Eastern:Schedule 3D_Income_The Cape'!AA71)</f>
        <v>5935.1586906838002</v>
      </c>
      <c r="AB71" s="671">
        <f>SUM('Schedule 3B_Income_Eastern:Schedule 3D_Income_The Cape'!AB71)</f>
        <v>39051.715639071132</v>
      </c>
      <c r="AC71" s="671">
        <f>SUM('Schedule 3B_Income_Eastern:Schedule 3D_Income_The Cape'!AC71)</f>
        <v>6744.2757940858146</v>
      </c>
      <c r="AD71" s="671">
        <f>SUM('Schedule 3B_Income_Eastern:Schedule 3D_Income_The Cape'!AD71)</f>
        <v>41049.660454852092</v>
      </c>
      <c r="AE71" s="672">
        <f>SUM(W71:AD71)</f>
        <v>184748.43406536712</v>
      </c>
      <c r="AF71" s="673">
        <f>SUM('Schedule 3B_Income_Eastern:Schedule 3D_Income_The Cape'!AF71)</f>
        <v>0</v>
      </c>
      <c r="AG71" s="671">
        <f>SUM('Schedule 3B_Income_Eastern:Schedule 3D_Income_The Cape'!AG71)</f>
        <v>61212.445558019637</v>
      </c>
      <c r="AH71" s="671">
        <f>SUM('Schedule 3B_Income_Eastern:Schedule 3D_Income_The Cape'!AH71)</f>
        <v>0</v>
      </c>
      <c r="AI71" s="671">
        <f>SUM('Schedule 3B_Income_Eastern:Schedule 3D_Income_The Cape'!AI71)</f>
        <v>54141.008671904827</v>
      </c>
      <c r="AJ71" s="671">
        <f>SUM('Schedule 3B_Income_Eastern:Schedule 3D_Income_The Cape'!AJ71)</f>
        <v>0</v>
      </c>
      <c r="AK71" s="671">
        <f>SUM('Schedule 3B_Income_Eastern:Schedule 3D_Income_The Cape'!AK71)</f>
        <v>54580.55397862789</v>
      </c>
      <c r="AL71" s="671">
        <f>SUM('Schedule 3B_Income_Eastern:Schedule 3D_Income_The Cape'!AL71)</f>
        <v>0</v>
      </c>
      <c r="AM71" s="671">
        <f>SUM('Schedule 3B_Income_Eastern:Schedule 3D_Income_The Cape'!AM71)</f>
        <v>56050.742224830479</v>
      </c>
      <c r="AN71" s="674">
        <f>SUM(AF71:AM71)</f>
        <v>225984.75043338281</v>
      </c>
      <c r="AO71" s="675">
        <f>SUM(AN71,AE71)</f>
        <v>410733.18449874991</v>
      </c>
      <c r="AP71" s="343">
        <v>46</v>
      </c>
      <c r="AQ71" s="671">
        <f>SUM('Schedule 3B_Income_Eastern:Schedule 3D_Income_The Cape'!AQ71)</f>
        <v>641894.1767004861</v>
      </c>
      <c r="AR71" s="671">
        <f>SUM('Schedule 3B_Income_Eastern:Schedule 3D_Income_The Cape'!AR71)</f>
        <v>1517837.5414213042</v>
      </c>
      <c r="AS71" s="671">
        <f>SUM('Schedule 3B_Income_Eastern:Schedule 3D_Income_The Cape'!AS71)</f>
        <v>751167.24163565831</v>
      </c>
      <c r="AT71" s="671">
        <f>SUM('Schedule 3B_Income_Eastern:Schedule 3D_Income_The Cape'!AT71)</f>
        <v>1746388.6793057285</v>
      </c>
      <c r="AU71" s="671">
        <f>SUM('Schedule 3B_Income_Eastern:Schedule 3D_Income_The Cape'!AU71)</f>
        <v>754233.50676542963</v>
      </c>
      <c r="AV71" s="671">
        <f>SUM('Schedule 3B_Income_Eastern:Schedule 3D_Income_The Cape'!AV71)</f>
        <v>1758220.8644821986</v>
      </c>
      <c r="AW71" s="671">
        <f>SUM('Schedule 3B_Income_Eastern:Schedule 3D_Income_The Cape'!AW71)</f>
        <v>826711.53942832444</v>
      </c>
      <c r="AX71" s="671">
        <f>SUM('Schedule 3B_Income_Eastern:Schedule 3D_Income_The Cape'!AX71)</f>
        <v>1861164.463285978</v>
      </c>
      <c r="AY71" s="672">
        <f>SUM(AQ71:AX71)</f>
        <v>9857618.0130251087</v>
      </c>
      <c r="AZ71" s="673">
        <f>SUM('Schedule 3B_Income_Eastern:Schedule 3D_Income_The Cape'!AZ71)</f>
        <v>0</v>
      </c>
      <c r="BA71" s="671">
        <f>SUM('Schedule 3B_Income_Eastern:Schedule 3D_Income_The Cape'!BA71)</f>
        <v>1420042.1595384367</v>
      </c>
      <c r="BB71" s="671">
        <f>SUM('Schedule 3B_Income_Eastern:Schedule 3D_Income_The Cape'!BB71)</f>
        <v>0</v>
      </c>
      <c r="BC71" s="671">
        <f>SUM('Schedule 3B_Income_Eastern:Schedule 3D_Income_The Cape'!BC71)</f>
        <v>1248397.8407066306</v>
      </c>
      <c r="BD71" s="671">
        <f>SUM('Schedule 3B_Income_Eastern:Schedule 3D_Income_The Cape'!BD71)</f>
        <v>0</v>
      </c>
      <c r="BE71" s="671">
        <f>SUM('Schedule 3B_Income_Eastern:Schedule 3D_Income_The Cape'!BE71)</f>
        <v>1357563.7595570828</v>
      </c>
      <c r="BF71" s="671">
        <f>SUM('Schedule 3B_Income_Eastern:Schedule 3D_Income_The Cape'!BF71)</f>
        <v>0</v>
      </c>
      <c r="BG71" s="671">
        <f>SUM('Schedule 3B_Income_Eastern:Schedule 3D_Income_The Cape'!BG71)</f>
        <v>1380347.8502383074</v>
      </c>
      <c r="BH71" s="674">
        <f>SUM(AZ71:BG71)</f>
        <v>5406351.6100404579</v>
      </c>
      <c r="BI71" s="675">
        <f>SUM(BH71,AY71)</f>
        <v>15263969.623065567</v>
      </c>
      <c r="BJ71" s="343">
        <v>46</v>
      </c>
      <c r="BK71" s="671">
        <f>SUM('Schedule 3B_Income_Eastern:Schedule 3D_Income_The Cape'!BK71)</f>
        <v>14363.652303496248</v>
      </c>
      <c r="BL71" s="671">
        <f>SUM('Schedule 3B_Income_Eastern:Schedule 3D_Income_The Cape'!BL71)</f>
        <v>161597.73767370413</v>
      </c>
      <c r="BM71" s="671">
        <f>SUM('Schedule 3B_Income_Eastern:Schedule 3D_Income_The Cape'!BM71)</f>
        <v>16150.750029524297</v>
      </c>
      <c r="BN71" s="671">
        <f>SUM('Schedule 3B_Income_Eastern:Schedule 3D_Income_The Cape'!BN71)</f>
        <v>173150.24252411188</v>
      </c>
      <c r="BO71" s="671">
        <f>SUM('Schedule 3B_Income_Eastern:Schedule 3D_Income_The Cape'!BO71)</f>
        <v>14599.152569160646</v>
      </c>
      <c r="BP71" s="671">
        <f>SUM('Schedule 3B_Income_Eastern:Schedule 3D_Income_The Cape'!BP71)</f>
        <v>160761.23203337321</v>
      </c>
      <c r="BQ71" s="671">
        <f>SUM('Schedule 3B_Income_Eastern:Schedule 3D_Income_The Cape'!BQ71)</f>
        <v>17757.408305585326</v>
      </c>
      <c r="BR71" s="671">
        <f>SUM('Schedule 3B_Income_Eastern:Schedule 3D_Income_The Cape'!BR71)</f>
        <v>169213.3504738888</v>
      </c>
      <c r="BS71" s="672">
        <f>SUM(BK71:BR71)</f>
        <v>727593.52591284446</v>
      </c>
      <c r="BT71" s="673">
        <f>SUM('Schedule 3B_Income_Eastern:Schedule 3D_Income_The Cape'!BT71)</f>
        <v>0</v>
      </c>
      <c r="BU71" s="671">
        <f>SUM('Schedule 3B_Income_Eastern:Schedule 3D_Income_The Cape'!BU71)</f>
        <v>55712.007685135148</v>
      </c>
      <c r="BV71" s="671">
        <f>SUM('Schedule 3B_Income_Eastern:Schedule 3D_Income_The Cape'!BV71)</f>
        <v>0</v>
      </c>
      <c r="BW71" s="671">
        <f>SUM('Schedule 3B_Income_Eastern:Schedule 3D_Income_The Cape'!BW71)</f>
        <v>52221.164991821905</v>
      </c>
      <c r="BX71" s="671">
        <f>SUM('Schedule 3B_Income_Eastern:Schedule 3D_Income_The Cape'!BX71)</f>
        <v>0</v>
      </c>
      <c r="BY71" s="671">
        <f>SUM('Schedule 3B_Income_Eastern:Schedule 3D_Income_The Cape'!BY71)</f>
        <v>51842.166404158335</v>
      </c>
      <c r="BZ71" s="671">
        <f>SUM('Schedule 3B_Income_Eastern:Schedule 3D_Income_The Cape'!BZ71)</f>
        <v>0</v>
      </c>
      <c r="CA71" s="671">
        <f>SUM('Schedule 3B_Income_Eastern:Schedule 3D_Income_The Cape'!CA71)</f>
        <v>62060.49774471268</v>
      </c>
      <c r="CB71" s="674">
        <f>SUM(BT71:CA71)</f>
        <v>221835.83682582807</v>
      </c>
      <c r="CC71" s="675">
        <f>SUM(CB71,BS71)</f>
        <v>949429.36273867253</v>
      </c>
      <c r="CD71" s="343">
        <v>46</v>
      </c>
      <c r="CE71" s="462">
        <f t="shared" si="168"/>
        <v>2491928.0621313313</v>
      </c>
      <c r="CF71" s="462">
        <f t="shared" si="169"/>
        <v>2859585.4743223023</v>
      </c>
      <c r="CG71" s="462">
        <f t="shared" si="170"/>
        <v>2857450.5508855763</v>
      </c>
      <c r="CH71" s="462">
        <f t="shared" si="171"/>
        <v>3051887.7189563359</v>
      </c>
      <c r="CI71" s="464">
        <f t="shared" si="172"/>
        <v>11260851.806295546</v>
      </c>
      <c r="CJ71" s="462">
        <f t="shared" si="173"/>
        <v>1719217.7890673431</v>
      </c>
      <c r="CK71" s="462">
        <f t="shared" si="174"/>
        <v>1533530.1427121749</v>
      </c>
      <c r="CL71" s="462">
        <f t="shared" si="175"/>
        <v>1648448.6429178135</v>
      </c>
      <c r="CM71" s="462">
        <f t="shared" si="176"/>
        <v>1686227.2710725276</v>
      </c>
      <c r="CN71" s="464">
        <f t="shared" si="177"/>
        <v>6587423.8457698599</v>
      </c>
      <c r="CO71" s="462">
        <f t="shared" si="178"/>
        <v>4211145.8511986742</v>
      </c>
      <c r="CP71" s="462">
        <f t="shared" si="179"/>
        <v>4393115.6170344772</v>
      </c>
      <c r="CQ71" s="462">
        <f t="shared" si="180"/>
        <v>4505899.1938033886</v>
      </c>
      <c r="CR71" s="462">
        <f t="shared" si="181"/>
        <v>4738114.9900288647</v>
      </c>
      <c r="CS71" s="464">
        <f t="shared" si="182"/>
        <v>17848275.652065407</v>
      </c>
    </row>
    <row r="72" spans="1:100" s="361" customFormat="1" ht="15.75" customHeight="1" x14ac:dyDescent="0.25">
      <c r="A72" s="111"/>
      <c r="B72" s="343"/>
      <c r="C72" s="207" t="s">
        <v>32</v>
      </c>
      <c r="D72" s="207" t="s">
        <v>32</v>
      </c>
      <c r="E72" s="207" t="s">
        <v>32</v>
      </c>
      <c r="F72" s="207" t="s">
        <v>32</v>
      </c>
      <c r="G72" s="207" t="s">
        <v>32</v>
      </c>
      <c r="H72" s="207" t="s">
        <v>32</v>
      </c>
      <c r="I72" s="207" t="s">
        <v>32</v>
      </c>
      <c r="J72" s="207" t="s">
        <v>32</v>
      </c>
      <c r="K72" s="426"/>
      <c r="L72" s="427" t="s">
        <v>32</v>
      </c>
      <c r="M72" s="207" t="s">
        <v>32</v>
      </c>
      <c r="N72" s="207" t="s">
        <v>32</v>
      </c>
      <c r="O72" s="207" t="s">
        <v>32</v>
      </c>
      <c r="P72" s="207" t="s">
        <v>32</v>
      </c>
      <c r="Q72" s="207" t="s">
        <v>32</v>
      </c>
      <c r="R72" s="207" t="s">
        <v>32</v>
      </c>
      <c r="S72" s="207" t="s">
        <v>32</v>
      </c>
      <c r="T72" s="428"/>
      <c r="U72" s="427" t="s">
        <v>32</v>
      </c>
      <c r="V72" s="343"/>
      <c r="W72" s="207" t="s">
        <v>32</v>
      </c>
      <c r="X72" s="207" t="s">
        <v>32</v>
      </c>
      <c r="Y72" s="207" t="s">
        <v>32</v>
      </c>
      <c r="Z72" s="207" t="s">
        <v>32</v>
      </c>
      <c r="AA72" s="207" t="s">
        <v>32</v>
      </c>
      <c r="AB72" s="207" t="s">
        <v>32</v>
      </c>
      <c r="AC72" s="207" t="s">
        <v>32</v>
      </c>
      <c r="AD72" s="207" t="s">
        <v>32</v>
      </c>
      <c r="AE72" s="426"/>
      <c r="AF72" s="427" t="s">
        <v>32</v>
      </c>
      <c r="AG72" s="207" t="s">
        <v>32</v>
      </c>
      <c r="AH72" s="207" t="s">
        <v>32</v>
      </c>
      <c r="AI72" s="207" t="s">
        <v>32</v>
      </c>
      <c r="AJ72" s="207" t="s">
        <v>32</v>
      </c>
      <c r="AK72" s="207" t="s">
        <v>32</v>
      </c>
      <c r="AL72" s="207" t="s">
        <v>32</v>
      </c>
      <c r="AM72" s="207" t="s">
        <v>32</v>
      </c>
      <c r="AN72" s="428"/>
      <c r="AO72" s="427" t="s">
        <v>32</v>
      </c>
      <c r="AP72" s="343"/>
      <c r="AQ72" s="207" t="s">
        <v>32</v>
      </c>
      <c r="AR72" s="207" t="s">
        <v>32</v>
      </c>
      <c r="AS72" s="207" t="s">
        <v>32</v>
      </c>
      <c r="AT72" s="207" t="s">
        <v>32</v>
      </c>
      <c r="AU72" s="207" t="s">
        <v>32</v>
      </c>
      <c r="AV72" s="207" t="s">
        <v>32</v>
      </c>
      <c r="AW72" s="207" t="s">
        <v>32</v>
      </c>
      <c r="AX72" s="207" t="s">
        <v>32</v>
      </c>
      <c r="AY72" s="426"/>
      <c r="AZ72" s="427" t="s">
        <v>32</v>
      </c>
      <c r="BA72" s="207" t="s">
        <v>32</v>
      </c>
      <c r="BB72" s="207" t="s">
        <v>32</v>
      </c>
      <c r="BC72" s="207" t="s">
        <v>32</v>
      </c>
      <c r="BD72" s="207" t="s">
        <v>32</v>
      </c>
      <c r="BE72" s="207" t="s">
        <v>32</v>
      </c>
      <c r="BF72" s="207" t="s">
        <v>32</v>
      </c>
      <c r="BG72" s="207" t="s">
        <v>32</v>
      </c>
      <c r="BH72" s="428"/>
      <c r="BI72" s="427" t="s">
        <v>32</v>
      </c>
      <c r="BJ72" s="343"/>
      <c r="BK72" s="207" t="s">
        <v>32</v>
      </c>
      <c r="BL72" s="207" t="s">
        <v>32</v>
      </c>
      <c r="BM72" s="207" t="s">
        <v>32</v>
      </c>
      <c r="BN72" s="207" t="s">
        <v>32</v>
      </c>
      <c r="BO72" s="207" t="s">
        <v>32</v>
      </c>
      <c r="BP72" s="207" t="s">
        <v>32</v>
      </c>
      <c r="BQ72" s="207" t="s">
        <v>32</v>
      </c>
      <c r="BR72" s="207" t="s">
        <v>32</v>
      </c>
      <c r="BS72" s="426"/>
      <c r="BT72" s="427" t="s">
        <v>32</v>
      </c>
      <c r="BU72" s="207" t="s">
        <v>32</v>
      </c>
      <c r="BV72" s="207" t="s">
        <v>32</v>
      </c>
      <c r="BW72" s="207" t="s">
        <v>32</v>
      </c>
      <c r="BX72" s="207" t="s">
        <v>32</v>
      </c>
      <c r="BY72" s="207" t="s">
        <v>32</v>
      </c>
      <c r="BZ72" s="207" t="s">
        <v>32</v>
      </c>
      <c r="CA72" s="207" t="s">
        <v>32</v>
      </c>
      <c r="CB72" s="428"/>
      <c r="CC72" s="427" t="s">
        <v>32</v>
      </c>
      <c r="CD72" s="343"/>
      <c r="CE72" s="428"/>
      <c r="CF72" s="428"/>
      <c r="CG72" s="428"/>
      <c r="CH72" s="428"/>
      <c r="CI72" s="207"/>
      <c r="CJ72" s="428"/>
      <c r="CK72" s="428"/>
      <c r="CL72" s="428"/>
      <c r="CM72" s="428"/>
      <c r="CN72" s="207"/>
      <c r="CO72" s="428"/>
      <c r="CP72" s="428"/>
      <c r="CQ72" s="428"/>
      <c r="CR72" s="428"/>
      <c r="CS72" s="207"/>
    </row>
    <row r="73" spans="1:100" s="361" customFormat="1" x14ac:dyDescent="0.25">
      <c r="A73" s="19" t="s">
        <v>421</v>
      </c>
      <c r="B73" s="343">
        <v>47</v>
      </c>
      <c r="C73" s="236">
        <f t="shared" ref="C73:U73" si="204">SUM(C69:C71)</f>
        <v>40392.493334656538</v>
      </c>
      <c r="D73" s="236">
        <f t="shared" si="204"/>
        <v>84940.393091288206</v>
      </c>
      <c r="E73" s="236">
        <f t="shared" si="204"/>
        <v>44871.643697646134</v>
      </c>
      <c r="F73" s="236">
        <f t="shared" si="204"/>
        <v>95007.78385387767</v>
      </c>
      <c r="G73" s="236">
        <f t="shared" si="204"/>
        <v>48370.198658939633</v>
      </c>
      <c r="H73" s="236">
        <f t="shared" si="204"/>
        <v>103700.01873195567</v>
      </c>
      <c r="I73" s="236">
        <f t="shared" si="204"/>
        <v>48340.957132738258</v>
      </c>
      <c r="J73" s="236">
        <f t="shared" si="204"/>
        <v>101158.01745788177</v>
      </c>
      <c r="K73" s="241">
        <f t="shared" si="204"/>
        <v>566781.50595898391</v>
      </c>
      <c r="L73" s="238">
        <f t="shared" si="204"/>
        <v>0</v>
      </c>
      <c r="M73" s="236">
        <f t="shared" si="204"/>
        <v>197024.88209656163</v>
      </c>
      <c r="N73" s="236">
        <f t="shared" si="204"/>
        <v>0</v>
      </c>
      <c r="O73" s="236">
        <f t="shared" si="204"/>
        <v>192495.92389866948</v>
      </c>
      <c r="P73" s="236">
        <f t="shared" si="204"/>
        <v>0</v>
      </c>
      <c r="Q73" s="236">
        <f t="shared" si="204"/>
        <v>218146.54011398117</v>
      </c>
      <c r="R73" s="236">
        <f t="shared" si="204"/>
        <v>0</v>
      </c>
      <c r="S73" s="236">
        <f t="shared" si="204"/>
        <v>210670.65303852846</v>
      </c>
      <c r="T73" s="239">
        <f t="shared" si="204"/>
        <v>818337.99914774077</v>
      </c>
      <c r="U73" s="238">
        <f t="shared" si="204"/>
        <v>1385119.5051067246</v>
      </c>
      <c r="V73" s="343">
        <v>47</v>
      </c>
      <c r="W73" s="236">
        <f t="shared" ref="W73:AO73" si="205">SUM(W69:W71)</f>
        <v>6600.908393911579</v>
      </c>
      <c r="X73" s="236">
        <f t="shared" si="205"/>
        <v>43860.359931264058</v>
      </c>
      <c r="Y73" s="236">
        <f t="shared" si="205"/>
        <v>7090.4560828207814</v>
      </c>
      <c r="Z73" s="236">
        <f t="shared" si="205"/>
        <v>45384.21230163773</v>
      </c>
      <c r="AA73" s="236">
        <f t="shared" si="205"/>
        <v>7240.8238052298811</v>
      </c>
      <c r="AB73" s="236">
        <f t="shared" si="205"/>
        <v>47642.633831897801</v>
      </c>
      <c r="AC73" s="236">
        <f t="shared" si="205"/>
        <v>7801.0487677367473</v>
      </c>
      <c r="AD73" s="236">
        <f t="shared" si="205"/>
        <v>47481.807222081879</v>
      </c>
      <c r="AE73" s="241">
        <f t="shared" si="205"/>
        <v>213102.25033658044</v>
      </c>
      <c r="AF73" s="238">
        <f t="shared" si="205"/>
        <v>0</v>
      </c>
      <c r="AG73" s="236">
        <f t="shared" si="205"/>
        <v>66174.469293967966</v>
      </c>
      <c r="AH73" s="236">
        <f t="shared" si="205"/>
        <v>0</v>
      </c>
      <c r="AI73" s="236">
        <f t="shared" si="205"/>
        <v>58297.902349641685</v>
      </c>
      <c r="AJ73" s="236">
        <f t="shared" si="205"/>
        <v>0</v>
      </c>
      <c r="AK73" s="236">
        <f t="shared" si="205"/>
        <v>64547.432469203384</v>
      </c>
      <c r="AL73" s="236">
        <f t="shared" si="205"/>
        <v>0</v>
      </c>
      <c r="AM73" s="236">
        <f t="shared" si="205"/>
        <v>62887.366823398952</v>
      </c>
      <c r="AN73" s="239">
        <f t="shared" si="205"/>
        <v>251907.17093621194</v>
      </c>
      <c r="AO73" s="238">
        <f t="shared" si="205"/>
        <v>465009.42127279239</v>
      </c>
      <c r="AP73" s="343">
        <v>47</v>
      </c>
      <c r="AQ73" s="236">
        <f t="shared" ref="AQ73:BI73" si="206">SUM(AQ69:AQ71)</f>
        <v>722253.51190854679</v>
      </c>
      <c r="AR73" s="236">
        <f t="shared" si="206"/>
        <v>1707857.0496359221</v>
      </c>
      <c r="AS73" s="236">
        <f t="shared" si="206"/>
        <v>836515.36821427103</v>
      </c>
      <c r="AT73" s="236">
        <f t="shared" si="206"/>
        <v>1944814.5341556878</v>
      </c>
      <c r="AU73" s="236">
        <f t="shared" si="206"/>
        <v>920156.00847564405</v>
      </c>
      <c r="AV73" s="236">
        <f t="shared" si="206"/>
        <v>2145008.7780092377</v>
      </c>
      <c r="AW73" s="236">
        <f t="shared" si="206"/>
        <v>956250.49046578479</v>
      </c>
      <c r="AX73" s="236">
        <f t="shared" si="206"/>
        <v>2152793.7448235028</v>
      </c>
      <c r="AY73" s="241">
        <f t="shared" si="206"/>
        <v>11385649.485688597</v>
      </c>
      <c r="AZ73" s="238">
        <f t="shared" si="206"/>
        <v>0</v>
      </c>
      <c r="BA73" s="236">
        <f t="shared" si="206"/>
        <v>1535154.0920456632</v>
      </c>
      <c r="BB73" s="236">
        <f t="shared" si="206"/>
        <v>0</v>
      </c>
      <c r="BC73" s="236">
        <f t="shared" si="206"/>
        <v>1344248.6055636711</v>
      </c>
      <c r="BD73" s="236">
        <f t="shared" si="206"/>
        <v>0</v>
      </c>
      <c r="BE73" s="236">
        <f t="shared" si="206"/>
        <v>1605466.5756408568</v>
      </c>
      <c r="BF73" s="236">
        <f t="shared" si="206"/>
        <v>0</v>
      </c>
      <c r="BG73" s="236">
        <f t="shared" si="206"/>
        <v>1548711.7236312232</v>
      </c>
      <c r="BH73" s="239">
        <f t="shared" si="206"/>
        <v>6033580.9968814142</v>
      </c>
      <c r="BI73" s="238">
        <f t="shared" si="206"/>
        <v>17419230.482570011</v>
      </c>
      <c r="BJ73" s="343">
        <v>47</v>
      </c>
      <c r="BK73" s="236">
        <f t="shared" ref="BK73:CC73" si="207">SUM(BK69:BK71)</f>
        <v>16161.851433767022</v>
      </c>
      <c r="BL73" s="236">
        <f t="shared" si="207"/>
        <v>181828.31031627973</v>
      </c>
      <c r="BM73" s="236">
        <f t="shared" si="207"/>
        <v>17985.809096873723</v>
      </c>
      <c r="BN73" s="236">
        <f t="shared" si="207"/>
        <v>192823.68939046664</v>
      </c>
      <c r="BO73" s="236">
        <f t="shared" si="207"/>
        <v>17810.794448493907</v>
      </c>
      <c r="BP73" s="236">
        <f t="shared" si="207"/>
        <v>196126.8125303018</v>
      </c>
      <c r="BQ73" s="236">
        <f t="shared" si="207"/>
        <v>20539.849260310675</v>
      </c>
      <c r="BR73" s="236">
        <f t="shared" si="207"/>
        <v>195727.70146151297</v>
      </c>
      <c r="BS73" s="241">
        <f t="shared" si="207"/>
        <v>839004.81793800637</v>
      </c>
      <c r="BT73" s="238">
        <f t="shared" si="207"/>
        <v>0</v>
      </c>
      <c r="BU73" s="236">
        <f t="shared" si="207"/>
        <v>60228.153086464539</v>
      </c>
      <c r="BV73" s="236">
        <f t="shared" si="207"/>
        <v>0</v>
      </c>
      <c r="BW73" s="236">
        <f t="shared" si="207"/>
        <v>56230.654950053977</v>
      </c>
      <c r="BX73" s="236">
        <f t="shared" si="207"/>
        <v>0</v>
      </c>
      <c r="BY73" s="236">
        <f t="shared" si="207"/>
        <v>61308.991776446921</v>
      </c>
      <c r="BZ73" s="236">
        <f t="shared" si="207"/>
        <v>0</v>
      </c>
      <c r="CA73" s="236">
        <f t="shared" si="207"/>
        <v>69630.144615382451</v>
      </c>
      <c r="CB73" s="239">
        <f t="shared" si="207"/>
        <v>247397.94442834787</v>
      </c>
      <c r="CC73" s="238">
        <f t="shared" si="207"/>
        <v>1086402.7623663542</v>
      </c>
      <c r="CD73" s="343">
        <v>47</v>
      </c>
      <c r="CE73" s="239">
        <f>SUM(CE69:CE71)</f>
        <v>2803894.8780456362</v>
      </c>
      <c r="CF73" s="239">
        <f>SUM(CF69:CF71)</f>
        <v>3184493.4967932813</v>
      </c>
      <c r="CG73" s="239">
        <f>SUM(CG69:CG71)</f>
        <v>3486056.0684917006</v>
      </c>
      <c r="CH73" s="239">
        <f>SUM(CH69:CH71)</f>
        <v>3530093.6165915499</v>
      </c>
      <c r="CI73" s="236">
        <f>SUM(BS73,AY73,AE73,K73)</f>
        <v>13004538.059922166</v>
      </c>
      <c r="CJ73" s="239">
        <f>SUM(CJ69:CJ71)</f>
        <v>1858581.5965226574</v>
      </c>
      <c r="CK73" s="239">
        <f>SUM(CK69:CK71)</f>
        <v>1651273.0867620362</v>
      </c>
      <c r="CL73" s="239">
        <f>SUM(CL69:CL71)</f>
        <v>1949469.5400004881</v>
      </c>
      <c r="CM73" s="239">
        <f>SUM(CM69:CM71)</f>
        <v>1891899.8881085331</v>
      </c>
      <c r="CN73" s="236">
        <f>SUM(BX73,BD73,AJ73,P73)</f>
        <v>0</v>
      </c>
      <c r="CO73" s="239">
        <f>SUM(CO69:CO71)</f>
        <v>4662476.4745682934</v>
      </c>
      <c r="CP73" s="239">
        <f>SUM(CP69:CP71)</f>
        <v>4835766.5835553175</v>
      </c>
      <c r="CQ73" s="239">
        <f>SUM(CQ69:CQ71)</f>
        <v>5435525.6084921882</v>
      </c>
      <c r="CR73" s="239">
        <f>SUM(CR69:CR71)</f>
        <v>5421993.5047000842</v>
      </c>
      <c r="CS73" s="236">
        <f>SUM(CC73,BI73,AO73,U73)</f>
        <v>20355762.171315882</v>
      </c>
    </row>
    <row r="74" spans="1:100" ht="15.75" customHeight="1" x14ac:dyDescent="0.25">
      <c r="A74" s="149"/>
      <c r="B74" s="343"/>
      <c r="C74" s="112"/>
      <c r="D74" s="112"/>
      <c r="E74" s="112"/>
      <c r="F74" s="112"/>
      <c r="G74" s="112"/>
      <c r="H74" s="112"/>
      <c r="I74" s="112"/>
      <c r="J74" s="112"/>
      <c r="K74" s="423"/>
      <c r="L74" s="424"/>
      <c r="M74" s="112"/>
      <c r="N74" s="112"/>
      <c r="O74" s="112"/>
      <c r="P74" s="112"/>
      <c r="Q74" s="112"/>
      <c r="R74" s="112"/>
      <c r="S74" s="112"/>
      <c r="T74" s="112"/>
      <c r="U74" s="425"/>
      <c r="V74" s="343"/>
      <c r="W74" s="112"/>
      <c r="X74" s="112"/>
      <c r="Y74" s="112"/>
      <c r="Z74" s="112"/>
      <c r="AA74" s="112"/>
      <c r="AB74" s="112"/>
      <c r="AC74" s="112"/>
      <c r="AD74" s="112"/>
      <c r="AE74" s="423"/>
      <c r="AF74" s="424"/>
      <c r="AG74" s="112"/>
      <c r="AH74" s="112"/>
      <c r="AI74" s="112"/>
      <c r="AJ74" s="112"/>
      <c r="AK74" s="112"/>
      <c r="AL74" s="112"/>
      <c r="AM74" s="112"/>
      <c r="AN74" s="112"/>
      <c r="AO74" s="425"/>
      <c r="AP74" s="343"/>
      <c r="AQ74" s="112"/>
      <c r="AR74" s="112"/>
      <c r="AS74" s="112"/>
      <c r="AT74" s="112"/>
      <c r="AU74" s="112"/>
      <c r="AV74" s="112"/>
      <c r="AW74" s="112"/>
      <c r="AX74" s="112"/>
      <c r="AY74" s="423"/>
      <c r="AZ74" s="424"/>
      <c r="BA74" s="112"/>
      <c r="BB74" s="112"/>
      <c r="BC74" s="112"/>
      <c r="BD74" s="112"/>
      <c r="BE74" s="112"/>
      <c r="BF74" s="112"/>
      <c r="BG74" s="112"/>
      <c r="BH74" s="112"/>
      <c r="BI74" s="425"/>
      <c r="BJ74" s="343"/>
      <c r="BK74" s="112"/>
      <c r="BL74" s="112"/>
      <c r="BM74" s="112"/>
      <c r="BN74" s="112"/>
      <c r="BO74" s="112"/>
      <c r="BP74" s="112"/>
      <c r="BQ74" s="112"/>
      <c r="BR74" s="112"/>
      <c r="BS74" s="423"/>
      <c r="BT74" s="424"/>
      <c r="BU74" s="112"/>
      <c r="BV74" s="112"/>
      <c r="BW74" s="112"/>
      <c r="BX74" s="112"/>
      <c r="BY74" s="112"/>
      <c r="BZ74" s="112"/>
      <c r="CA74" s="112"/>
      <c r="CB74" s="112"/>
      <c r="CC74" s="425"/>
      <c r="CD74" s="343"/>
      <c r="CE74" s="198"/>
      <c r="CF74" s="198"/>
      <c r="CG74" s="198"/>
      <c r="CH74" s="198"/>
      <c r="CI74" s="467"/>
      <c r="CJ74" s="198"/>
      <c r="CK74" s="198"/>
      <c r="CL74" s="198"/>
      <c r="CM74" s="198"/>
      <c r="CN74" s="467"/>
      <c r="CO74" s="198"/>
      <c r="CP74" s="198"/>
      <c r="CQ74" s="198"/>
      <c r="CR74" s="198"/>
      <c r="CS74" s="467"/>
    </row>
    <row r="75" spans="1:100" ht="15.75" customHeight="1" x14ac:dyDescent="0.25">
      <c r="A75" s="19" t="s">
        <v>422</v>
      </c>
      <c r="B75" s="343"/>
      <c r="C75" s="198"/>
      <c r="D75" s="198"/>
      <c r="E75" s="198"/>
      <c r="F75" s="198"/>
      <c r="G75" s="198"/>
      <c r="H75" s="198"/>
      <c r="I75" s="198"/>
      <c r="J75" s="198"/>
      <c r="K75" s="429"/>
      <c r="L75" s="430"/>
      <c r="M75" s="198"/>
      <c r="N75" s="198"/>
      <c r="O75" s="198"/>
      <c r="P75" s="198"/>
      <c r="Q75" s="198"/>
      <c r="R75" s="198"/>
      <c r="S75" s="198"/>
      <c r="T75" s="198"/>
      <c r="U75" s="431"/>
      <c r="V75" s="343"/>
      <c r="W75" s="198"/>
      <c r="X75" s="198"/>
      <c r="Y75" s="198"/>
      <c r="Z75" s="198"/>
      <c r="AA75" s="198"/>
      <c r="AB75" s="198"/>
      <c r="AC75" s="198"/>
      <c r="AD75" s="198"/>
      <c r="AE75" s="429"/>
      <c r="AF75" s="430"/>
      <c r="AG75" s="198"/>
      <c r="AH75" s="198"/>
      <c r="AI75" s="198"/>
      <c r="AJ75" s="198"/>
      <c r="AK75" s="198"/>
      <c r="AL75" s="198"/>
      <c r="AM75" s="198"/>
      <c r="AN75" s="198"/>
      <c r="AO75" s="431"/>
      <c r="AP75" s="343"/>
      <c r="AQ75" s="198"/>
      <c r="AR75" s="198"/>
      <c r="AS75" s="198"/>
      <c r="AT75" s="198"/>
      <c r="AU75" s="198"/>
      <c r="AV75" s="198"/>
      <c r="AW75" s="198"/>
      <c r="AX75" s="198"/>
      <c r="AY75" s="429"/>
      <c r="AZ75" s="430"/>
      <c r="BA75" s="198"/>
      <c r="BB75" s="198"/>
      <c r="BC75" s="198"/>
      <c r="BD75" s="198"/>
      <c r="BE75" s="198"/>
      <c r="BF75" s="198"/>
      <c r="BG75" s="198"/>
      <c r="BH75" s="198"/>
      <c r="BI75" s="431"/>
      <c r="BJ75" s="343"/>
      <c r="BK75" s="198"/>
      <c r="BL75" s="198"/>
      <c r="BM75" s="198"/>
      <c r="BN75" s="198"/>
      <c r="BO75" s="198"/>
      <c r="BP75" s="198"/>
      <c r="BQ75" s="198"/>
      <c r="BR75" s="198"/>
      <c r="BS75" s="429"/>
      <c r="BT75" s="430"/>
      <c r="BU75" s="198"/>
      <c r="BV75" s="198"/>
      <c r="BW75" s="198"/>
      <c r="BX75" s="198"/>
      <c r="BY75" s="198"/>
      <c r="BZ75" s="198"/>
      <c r="CA75" s="198"/>
      <c r="CB75" s="198"/>
      <c r="CC75" s="431"/>
      <c r="CD75" s="343"/>
      <c r="CE75" s="198"/>
      <c r="CF75" s="198"/>
      <c r="CG75" s="198"/>
      <c r="CH75" s="198"/>
      <c r="CI75" s="467"/>
      <c r="CJ75" s="198"/>
      <c r="CK75" s="198"/>
      <c r="CL75" s="198"/>
      <c r="CM75" s="198"/>
      <c r="CN75" s="467"/>
      <c r="CO75" s="198"/>
      <c r="CP75" s="198"/>
      <c r="CQ75" s="198"/>
      <c r="CR75" s="198"/>
      <c r="CS75" s="467"/>
    </row>
    <row r="76" spans="1:100" s="361" customFormat="1" ht="15.75" customHeight="1" x14ac:dyDescent="0.25">
      <c r="A76" s="94" t="s">
        <v>258</v>
      </c>
      <c r="B76" s="343">
        <v>48</v>
      </c>
      <c r="C76" s="671">
        <f>SUM('Schedule 3B_Income_Eastern:Schedule 3D_Income_The Cape'!C76)</f>
        <v>0</v>
      </c>
      <c r="D76" s="671">
        <f>SUM('Schedule 3B_Income_Eastern:Schedule 3D_Income_The Cape'!D76)</f>
        <v>0</v>
      </c>
      <c r="E76" s="671">
        <f>SUM('Schedule 3B_Income_Eastern:Schedule 3D_Income_The Cape'!E76)</f>
        <v>0</v>
      </c>
      <c r="F76" s="671">
        <f>SUM('Schedule 3B_Income_Eastern:Schedule 3D_Income_The Cape'!F76)</f>
        <v>0</v>
      </c>
      <c r="G76" s="671">
        <f>SUM('Schedule 3B_Income_Eastern:Schedule 3D_Income_The Cape'!G76)</f>
        <v>0</v>
      </c>
      <c r="H76" s="671">
        <f>SUM('Schedule 3B_Income_Eastern:Schedule 3D_Income_The Cape'!H76)</f>
        <v>0</v>
      </c>
      <c r="I76" s="671">
        <f>SUM('Schedule 3B_Income_Eastern:Schedule 3D_Income_The Cape'!I76)</f>
        <v>0</v>
      </c>
      <c r="J76" s="671">
        <f>SUM('Schedule 3B_Income_Eastern:Schedule 3D_Income_The Cape'!J76)</f>
        <v>0</v>
      </c>
      <c r="K76" s="672">
        <f t="shared" ref="K76:K86" si="208">SUM(C76:J76)</f>
        <v>0</v>
      </c>
      <c r="L76" s="673">
        <f>SUM('Schedule 3B_Income_Eastern:Schedule 3D_Income_The Cape'!L76)</f>
        <v>0</v>
      </c>
      <c r="M76" s="671">
        <f>SUM('Schedule 3B_Income_Eastern:Schedule 3D_Income_The Cape'!M76)</f>
        <v>0</v>
      </c>
      <c r="N76" s="671">
        <f>SUM('Schedule 3B_Income_Eastern:Schedule 3D_Income_The Cape'!N76)</f>
        <v>0</v>
      </c>
      <c r="O76" s="671">
        <f>SUM('Schedule 3B_Income_Eastern:Schedule 3D_Income_The Cape'!O76)</f>
        <v>0</v>
      </c>
      <c r="P76" s="671">
        <f>SUM('Schedule 3B_Income_Eastern:Schedule 3D_Income_The Cape'!P76)</f>
        <v>0</v>
      </c>
      <c r="Q76" s="671">
        <f>SUM('Schedule 3B_Income_Eastern:Schedule 3D_Income_The Cape'!Q76)</f>
        <v>0</v>
      </c>
      <c r="R76" s="671">
        <f>SUM('Schedule 3B_Income_Eastern:Schedule 3D_Income_The Cape'!R76)</f>
        <v>0</v>
      </c>
      <c r="S76" s="671">
        <f>SUM('Schedule 3B_Income_Eastern:Schedule 3D_Income_The Cape'!S76)</f>
        <v>0</v>
      </c>
      <c r="T76" s="674">
        <f t="shared" ref="T76:T86" si="209">SUM(L76:S76)</f>
        <v>0</v>
      </c>
      <c r="U76" s="675">
        <f t="shared" ref="U76:U86" si="210">SUM(T76,K76)</f>
        <v>0</v>
      </c>
      <c r="V76" s="343">
        <v>48</v>
      </c>
      <c r="W76" s="671">
        <f>SUM('Schedule 3B_Income_Eastern:Schedule 3D_Income_The Cape'!W76)</f>
        <v>0</v>
      </c>
      <c r="X76" s="671">
        <f>SUM('Schedule 3B_Income_Eastern:Schedule 3D_Income_The Cape'!X76)</f>
        <v>0</v>
      </c>
      <c r="Y76" s="671">
        <f>SUM('Schedule 3B_Income_Eastern:Schedule 3D_Income_The Cape'!Y76)</f>
        <v>0</v>
      </c>
      <c r="Z76" s="671">
        <f>SUM('Schedule 3B_Income_Eastern:Schedule 3D_Income_The Cape'!Z76)</f>
        <v>0</v>
      </c>
      <c r="AA76" s="671">
        <f>SUM('Schedule 3B_Income_Eastern:Schedule 3D_Income_The Cape'!AA76)</f>
        <v>0</v>
      </c>
      <c r="AB76" s="671">
        <f>SUM('Schedule 3B_Income_Eastern:Schedule 3D_Income_The Cape'!AB76)</f>
        <v>0</v>
      </c>
      <c r="AC76" s="671">
        <f>SUM('Schedule 3B_Income_Eastern:Schedule 3D_Income_The Cape'!AC76)</f>
        <v>0</v>
      </c>
      <c r="AD76" s="671">
        <f>SUM('Schedule 3B_Income_Eastern:Schedule 3D_Income_The Cape'!AD76)</f>
        <v>0</v>
      </c>
      <c r="AE76" s="672">
        <f t="shared" ref="AE76:AE86" si="211">SUM(W76:AD76)</f>
        <v>0</v>
      </c>
      <c r="AF76" s="673">
        <f>SUM('Schedule 3B_Income_Eastern:Schedule 3D_Income_The Cape'!AF76)</f>
        <v>0</v>
      </c>
      <c r="AG76" s="671">
        <f>SUM('Schedule 3B_Income_Eastern:Schedule 3D_Income_The Cape'!AG76)</f>
        <v>0</v>
      </c>
      <c r="AH76" s="671">
        <f>SUM('Schedule 3B_Income_Eastern:Schedule 3D_Income_The Cape'!AH76)</f>
        <v>0</v>
      </c>
      <c r="AI76" s="671">
        <f>SUM('Schedule 3B_Income_Eastern:Schedule 3D_Income_The Cape'!AI76)</f>
        <v>0</v>
      </c>
      <c r="AJ76" s="671">
        <f>SUM('Schedule 3B_Income_Eastern:Schedule 3D_Income_The Cape'!AJ76)</f>
        <v>0</v>
      </c>
      <c r="AK76" s="671">
        <f>SUM('Schedule 3B_Income_Eastern:Schedule 3D_Income_The Cape'!AK76)</f>
        <v>0</v>
      </c>
      <c r="AL76" s="671">
        <f>SUM('Schedule 3B_Income_Eastern:Schedule 3D_Income_The Cape'!AL76)</f>
        <v>0</v>
      </c>
      <c r="AM76" s="671">
        <f>SUM('Schedule 3B_Income_Eastern:Schedule 3D_Income_The Cape'!AM76)</f>
        <v>0</v>
      </c>
      <c r="AN76" s="674">
        <f t="shared" ref="AN76:AN86" si="212">SUM(AF76:AM76)</f>
        <v>0</v>
      </c>
      <c r="AO76" s="675">
        <f t="shared" ref="AO76:AO86" si="213">SUM(AN76,AE76)</f>
        <v>0</v>
      </c>
      <c r="AP76" s="343">
        <v>48</v>
      </c>
      <c r="AQ76" s="671">
        <f>SUM('Schedule 3B_Income_Eastern:Schedule 3D_Income_The Cape'!AQ76)</f>
        <v>0</v>
      </c>
      <c r="AR76" s="671">
        <f>SUM('Schedule 3B_Income_Eastern:Schedule 3D_Income_The Cape'!AR76)</f>
        <v>0</v>
      </c>
      <c r="AS76" s="671">
        <f>SUM('Schedule 3B_Income_Eastern:Schedule 3D_Income_The Cape'!AS76)</f>
        <v>0</v>
      </c>
      <c r="AT76" s="671">
        <f>SUM('Schedule 3B_Income_Eastern:Schedule 3D_Income_The Cape'!AT76)</f>
        <v>0</v>
      </c>
      <c r="AU76" s="671">
        <f>SUM('Schedule 3B_Income_Eastern:Schedule 3D_Income_The Cape'!AU76)</f>
        <v>0</v>
      </c>
      <c r="AV76" s="671">
        <f>SUM('Schedule 3B_Income_Eastern:Schedule 3D_Income_The Cape'!AV76)</f>
        <v>0</v>
      </c>
      <c r="AW76" s="671">
        <f>SUM('Schedule 3B_Income_Eastern:Schedule 3D_Income_The Cape'!AW76)</f>
        <v>0</v>
      </c>
      <c r="AX76" s="671">
        <f>SUM('Schedule 3B_Income_Eastern:Schedule 3D_Income_The Cape'!AX76)</f>
        <v>0</v>
      </c>
      <c r="AY76" s="672">
        <f t="shared" ref="AY76:AY86" si="214">SUM(AQ76:AX76)</f>
        <v>0</v>
      </c>
      <c r="AZ76" s="673">
        <f>SUM('Schedule 3B_Income_Eastern:Schedule 3D_Income_The Cape'!AZ76)</f>
        <v>0</v>
      </c>
      <c r="BA76" s="671">
        <f>SUM('Schedule 3B_Income_Eastern:Schedule 3D_Income_The Cape'!BA76)</f>
        <v>0</v>
      </c>
      <c r="BB76" s="671">
        <f>SUM('Schedule 3B_Income_Eastern:Schedule 3D_Income_The Cape'!BB76)</f>
        <v>0</v>
      </c>
      <c r="BC76" s="671">
        <f>SUM('Schedule 3B_Income_Eastern:Schedule 3D_Income_The Cape'!BC76)</f>
        <v>0</v>
      </c>
      <c r="BD76" s="671">
        <f>SUM('Schedule 3B_Income_Eastern:Schedule 3D_Income_The Cape'!BD76)</f>
        <v>0</v>
      </c>
      <c r="BE76" s="671">
        <f>SUM('Schedule 3B_Income_Eastern:Schedule 3D_Income_The Cape'!BE76)</f>
        <v>0</v>
      </c>
      <c r="BF76" s="671">
        <f>SUM('Schedule 3B_Income_Eastern:Schedule 3D_Income_The Cape'!BF76)</f>
        <v>0</v>
      </c>
      <c r="BG76" s="671">
        <f>SUM('Schedule 3B_Income_Eastern:Schedule 3D_Income_The Cape'!BG76)</f>
        <v>0</v>
      </c>
      <c r="BH76" s="674">
        <f t="shared" ref="BH76:BH86" si="215">SUM(AZ76:BG76)</f>
        <v>0</v>
      </c>
      <c r="BI76" s="675">
        <f t="shared" ref="BI76:BI86" si="216">SUM(BH76,AY76)</f>
        <v>0</v>
      </c>
      <c r="BJ76" s="343">
        <v>48</v>
      </c>
      <c r="BK76" s="671">
        <f>SUM('Schedule 3B_Income_Eastern:Schedule 3D_Income_The Cape'!BK76)</f>
        <v>0</v>
      </c>
      <c r="BL76" s="671">
        <f>SUM('Schedule 3B_Income_Eastern:Schedule 3D_Income_The Cape'!BL76)</f>
        <v>0</v>
      </c>
      <c r="BM76" s="671">
        <f>SUM('Schedule 3B_Income_Eastern:Schedule 3D_Income_The Cape'!BM76)</f>
        <v>0</v>
      </c>
      <c r="BN76" s="671">
        <f>SUM('Schedule 3B_Income_Eastern:Schedule 3D_Income_The Cape'!BN76)</f>
        <v>0</v>
      </c>
      <c r="BO76" s="671">
        <f>SUM('Schedule 3B_Income_Eastern:Schedule 3D_Income_The Cape'!BO76)</f>
        <v>0</v>
      </c>
      <c r="BP76" s="671">
        <f>SUM('Schedule 3B_Income_Eastern:Schedule 3D_Income_The Cape'!BP76)</f>
        <v>0</v>
      </c>
      <c r="BQ76" s="671">
        <f>SUM('Schedule 3B_Income_Eastern:Schedule 3D_Income_The Cape'!BQ76)</f>
        <v>0</v>
      </c>
      <c r="BR76" s="671">
        <f>SUM('Schedule 3B_Income_Eastern:Schedule 3D_Income_The Cape'!BR76)</f>
        <v>0</v>
      </c>
      <c r="BS76" s="672">
        <f t="shared" ref="BS76:BS86" si="217">SUM(BK76:BR76)</f>
        <v>0</v>
      </c>
      <c r="BT76" s="673">
        <f>SUM('Schedule 3B_Income_Eastern:Schedule 3D_Income_The Cape'!BT76)</f>
        <v>0</v>
      </c>
      <c r="BU76" s="671">
        <f>SUM('Schedule 3B_Income_Eastern:Schedule 3D_Income_The Cape'!BU76)</f>
        <v>0</v>
      </c>
      <c r="BV76" s="671">
        <f>SUM('Schedule 3B_Income_Eastern:Schedule 3D_Income_The Cape'!BV76)</f>
        <v>0</v>
      </c>
      <c r="BW76" s="671">
        <f>SUM('Schedule 3B_Income_Eastern:Schedule 3D_Income_The Cape'!BW76)</f>
        <v>0</v>
      </c>
      <c r="BX76" s="671">
        <f>SUM('Schedule 3B_Income_Eastern:Schedule 3D_Income_The Cape'!BX76)</f>
        <v>0</v>
      </c>
      <c r="BY76" s="671">
        <f>SUM('Schedule 3B_Income_Eastern:Schedule 3D_Income_The Cape'!BY76)</f>
        <v>0</v>
      </c>
      <c r="BZ76" s="671">
        <f>SUM('Schedule 3B_Income_Eastern:Schedule 3D_Income_The Cape'!BZ76)</f>
        <v>0</v>
      </c>
      <c r="CA76" s="671">
        <f>SUM('Schedule 3B_Income_Eastern:Schedule 3D_Income_The Cape'!CA76)</f>
        <v>0</v>
      </c>
      <c r="CB76" s="674">
        <f t="shared" ref="CB76:CB86" si="218">SUM(BT76:CA76)</f>
        <v>0</v>
      </c>
      <c r="CC76" s="675">
        <f t="shared" ref="CC76:CC86" si="219">SUM(CB76,BS76)</f>
        <v>0</v>
      </c>
      <c r="CD76" s="343">
        <v>48</v>
      </c>
      <c r="CE76" s="462">
        <f t="shared" ref="CE76:CE86" si="220">+C76+D76+W76+X76+AQ76+AR76+BK76+BL76</f>
        <v>0</v>
      </c>
      <c r="CF76" s="462">
        <f t="shared" ref="CF76:CF86" si="221">+E76+F76+Y76+Z76+AS76+AT76+BM76+BN76</f>
        <v>0</v>
      </c>
      <c r="CG76" s="462">
        <f t="shared" ref="CG76:CG86" si="222">+G76+H76+AA76+AB76+AU76+AV76+BO76+BP76</f>
        <v>0</v>
      </c>
      <c r="CH76" s="462">
        <f t="shared" ref="CH76:CH86" si="223">+I76+J76+AC76+AD76+AW76+AX76+BQ76+BR76</f>
        <v>0</v>
      </c>
      <c r="CI76" s="464">
        <f t="shared" ref="CI76:CI86" si="224">SUM(K76,AE76,AY76,BS76)</f>
        <v>0</v>
      </c>
      <c r="CJ76" s="462">
        <f t="shared" ref="CJ76:CJ86" si="225">L76+M76+AF76+AG76+AZ76+BA76+BT76+BU76</f>
        <v>0</v>
      </c>
      <c r="CK76" s="462">
        <f t="shared" ref="CK76:CK86" si="226">N76+O76+AH76+AI76+BB76+BC76+BV76+BW76</f>
        <v>0</v>
      </c>
      <c r="CL76" s="462">
        <f t="shared" ref="CL76:CL86" si="227">P76+Q76+AJ76+AK76+BD76+BE76+BX76+BY76</f>
        <v>0</v>
      </c>
      <c r="CM76" s="462">
        <f t="shared" ref="CM76:CM86" si="228">+R76+S76+AL76+AM76+BF76+BG76+BZ76+CA76</f>
        <v>0</v>
      </c>
      <c r="CN76" s="464">
        <f t="shared" ref="CN76:CN86" si="229">SUM(T76,AN76,BH76,CB76)</f>
        <v>0</v>
      </c>
      <c r="CO76" s="462">
        <f t="shared" ref="CO76:CO86" si="230">+C76+D76+L76+M76+W76+X76+AF76+AG76+AQ76+AR76+AZ76+BA76+BK76+BL76+BT76+BU76</f>
        <v>0</v>
      </c>
      <c r="CP76" s="462">
        <f t="shared" ref="CP76:CP86" si="231">+E76+F76+N76+O76+Y76+Z76+AH76+AI76+AS76+AT76+BB76+BC76+BM76+BN76+BV76+BW76</f>
        <v>0</v>
      </c>
      <c r="CQ76" s="462">
        <f t="shared" ref="CQ76:CQ86" si="232">+G76+H76+P76+Q76+AA76+AB76+AJ76+AK76+AU76+AV76+BD76+BE76+BO76+BP76+BX76+BY76</f>
        <v>0</v>
      </c>
      <c r="CR76" s="462">
        <f t="shared" ref="CR76:CR86" si="233">+I76+J76+R76+S76+AC76+AD76+AL76+AM76+AW76+AX76+BF76+BG76+BQ76+BR76+BZ76+CA76</f>
        <v>0</v>
      </c>
      <c r="CS76" s="464">
        <f t="shared" ref="CS76:CS86" si="234">SUM(CC76,BI76,AO76,U76)</f>
        <v>0</v>
      </c>
    </row>
    <row r="77" spans="1:100" ht="15.75" customHeight="1" x14ac:dyDescent="0.25">
      <c r="A77" s="94" t="s">
        <v>330</v>
      </c>
      <c r="B77" s="343">
        <v>49</v>
      </c>
      <c r="C77" s="671">
        <f>SUM('Schedule 3B_Income_Eastern:Schedule 3D_Income_The Cape'!C77)</f>
        <v>0</v>
      </c>
      <c r="D77" s="671">
        <f>SUM('Schedule 3B_Income_Eastern:Schedule 3D_Income_The Cape'!D77)</f>
        <v>0</v>
      </c>
      <c r="E77" s="671">
        <f>SUM('Schedule 3B_Income_Eastern:Schedule 3D_Income_The Cape'!E77)</f>
        <v>0</v>
      </c>
      <c r="F77" s="671">
        <f>SUM('Schedule 3B_Income_Eastern:Schedule 3D_Income_The Cape'!F77)</f>
        <v>0</v>
      </c>
      <c r="G77" s="671">
        <f>SUM('Schedule 3B_Income_Eastern:Schedule 3D_Income_The Cape'!G77)</f>
        <v>0</v>
      </c>
      <c r="H77" s="671">
        <f>SUM('Schedule 3B_Income_Eastern:Schedule 3D_Income_The Cape'!H77)</f>
        <v>0</v>
      </c>
      <c r="I77" s="671">
        <f>SUM('Schedule 3B_Income_Eastern:Schedule 3D_Income_The Cape'!I77)</f>
        <v>0</v>
      </c>
      <c r="J77" s="671">
        <f>SUM('Schedule 3B_Income_Eastern:Schedule 3D_Income_The Cape'!J77)</f>
        <v>0</v>
      </c>
      <c r="K77" s="672">
        <f t="shared" si="208"/>
        <v>0</v>
      </c>
      <c r="L77" s="673">
        <f>SUM('Schedule 3B_Income_Eastern:Schedule 3D_Income_The Cape'!L77)</f>
        <v>0</v>
      </c>
      <c r="M77" s="671">
        <f>SUM('Schedule 3B_Income_Eastern:Schedule 3D_Income_The Cape'!M77)</f>
        <v>0</v>
      </c>
      <c r="N77" s="671">
        <f>SUM('Schedule 3B_Income_Eastern:Schedule 3D_Income_The Cape'!N77)</f>
        <v>0</v>
      </c>
      <c r="O77" s="671">
        <f>SUM('Schedule 3B_Income_Eastern:Schedule 3D_Income_The Cape'!O77)</f>
        <v>0</v>
      </c>
      <c r="P77" s="671">
        <f>SUM('Schedule 3B_Income_Eastern:Schedule 3D_Income_The Cape'!P77)</f>
        <v>0</v>
      </c>
      <c r="Q77" s="671">
        <f>SUM('Schedule 3B_Income_Eastern:Schedule 3D_Income_The Cape'!Q77)</f>
        <v>0</v>
      </c>
      <c r="R77" s="671">
        <f>SUM('Schedule 3B_Income_Eastern:Schedule 3D_Income_The Cape'!R77)</f>
        <v>0</v>
      </c>
      <c r="S77" s="671">
        <f>SUM('Schedule 3B_Income_Eastern:Schedule 3D_Income_The Cape'!S77)</f>
        <v>0</v>
      </c>
      <c r="T77" s="674">
        <f t="shared" si="209"/>
        <v>0</v>
      </c>
      <c r="U77" s="675">
        <f t="shared" si="210"/>
        <v>0</v>
      </c>
      <c r="V77" s="343">
        <v>49</v>
      </c>
      <c r="W77" s="671">
        <f>SUM('Schedule 3B_Income_Eastern:Schedule 3D_Income_The Cape'!W77)</f>
        <v>0</v>
      </c>
      <c r="X77" s="671">
        <f>SUM('Schedule 3B_Income_Eastern:Schedule 3D_Income_The Cape'!X77)</f>
        <v>0</v>
      </c>
      <c r="Y77" s="671">
        <f>SUM('Schedule 3B_Income_Eastern:Schedule 3D_Income_The Cape'!Y77)</f>
        <v>0</v>
      </c>
      <c r="Z77" s="671">
        <f>SUM('Schedule 3B_Income_Eastern:Schedule 3D_Income_The Cape'!Z77)</f>
        <v>0</v>
      </c>
      <c r="AA77" s="671">
        <f>SUM('Schedule 3B_Income_Eastern:Schedule 3D_Income_The Cape'!AA77)</f>
        <v>0</v>
      </c>
      <c r="AB77" s="671">
        <f>SUM('Schedule 3B_Income_Eastern:Schedule 3D_Income_The Cape'!AB77)</f>
        <v>0</v>
      </c>
      <c r="AC77" s="671">
        <f>SUM('Schedule 3B_Income_Eastern:Schedule 3D_Income_The Cape'!AC77)</f>
        <v>0</v>
      </c>
      <c r="AD77" s="671">
        <f>SUM('Schedule 3B_Income_Eastern:Schedule 3D_Income_The Cape'!AD77)</f>
        <v>0</v>
      </c>
      <c r="AE77" s="672">
        <f t="shared" si="211"/>
        <v>0</v>
      </c>
      <c r="AF77" s="673">
        <f>SUM('Schedule 3B_Income_Eastern:Schedule 3D_Income_The Cape'!AF77)</f>
        <v>0</v>
      </c>
      <c r="AG77" s="671">
        <f>SUM('Schedule 3B_Income_Eastern:Schedule 3D_Income_The Cape'!AG77)</f>
        <v>0</v>
      </c>
      <c r="AH77" s="671">
        <f>SUM('Schedule 3B_Income_Eastern:Schedule 3D_Income_The Cape'!AH77)</f>
        <v>0</v>
      </c>
      <c r="AI77" s="671">
        <f>SUM('Schedule 3B_Income_Eastern:Schedule 3D_Income_The Cape'!AI77)</f>
        <v>0</v>
      </c>
      <c r="AJ77" s="671">
        <f>SUM('Schedule 3B_Income_Eastern:Schedule 3D_Income_The Cape'!AJ77)</f>
        <v>0</v>
      </c>
      <c r="AK77" s="671">
        <f>SUM('Schedule 3B_Income_Eastern:Schedule 3D_Income_The Cape'!AK77)</f>
        <v>0</v>
      </c>
      <c r="AL77" s="671">
        <f>SUM('Schedule 3B_Income_Eastern:Schedule 3D_Income_The Cape'!AL77)</f>
        <v>0</v>
      </c>
      <c r="AM77" s="671">
        <f>SUM('Schedule 3B_Income_Eastern:Schedule 3D_Income_The Cape'!AM77)</f>
        <v>0</v>
      </c>
      <c r="AN77" s="674">
        <f t="shared" si="212"/>
        <v>0</v>
      </c>
      <c r="AO77" s="675">
        <f t="shared" si="213"/>
        <v>0</v>
      </c>
      <c r="AP77" s="343">
        <v>49</v>
      </c>
      <c r="AQ77" s="671">
        <f>SUM('Schedule 3B_Income_Eastern:Schedule 3D_Income_The Cape'!AQ77)</f>
        <v>0</v>
      </c>
      <c r="AR77" s="671">
        <f>SUM('Schedule 3B_Income_Eastern:Schedule 3D_Income_The Cape'!AR77)</f>
        <v>0</v>
      </c>
      <c r="AS77" s="671">
        <f>SUM('Schedule 3B_Income_Eastern:Schedule 3D_Income_The Cape'!AS77)</f>
        <v>0</v>
      </c>
      <c r="AT77" s="671">
        <f>SUM('Schedule 3B_Income_Eastern:Schedule 3D_Income_The Cape'!AT77)</f>
        <v>0</v>
      </c>
      <c r="AU77" s="671">
        <f>SUM('Schedule 3B_Income_Eastern:Schedule 3D_Income_The Cape'!AU77)</f>
        <v>0</v>
      </c>
      <c r="AV77" s="671">
        <f>SUM('Schedule 3B_Income_Eastern:Schedule 3D_Income_The Cape'!AV77)</f>
        <v>0</v>
      </c>
      <c r="AW77" s="671">
        <f>SUM('Schedule 3B_Income_Eastern:Schedule 3D_Income_The Cape'!AW77)</f>
        <v>0</v>
      </c>
      <c r="AX77" s="671">
        <f>SUM('Schedule 3B_Income_Eastern:Schedule 3D_Income_The Cape'!AX77)</f>
        <v>0</v>
      </c>
      <c r="AY77" s="672">
        <f t="shared" si="214"/>
        <v>0</v>
      </c>
      <c r="AZ77" s="673">
        <f>SUM('Schedule 3B_Income_Eastern:Schedule 3D_Income_The Cape'!AZ77)</f>
        <v>0</v>
      </c>
      <c r="BA77" s="671">
        <f>SUM('Schedule 3B_Income_Eastern:Schedule 3D_Income_The Cape'!BA77)</f>
        <v>0</v>
      </c>
      <c r="BB77" s="671">
        <f>SUM('Schedule 3B_Income_Eastern:Schedule 3D_Income_The Cape'!BB77)</f>
        <v>0</v>
      </c>
      <c r="BC77" s="671">
        <f>SUM('Schedule 3B_Income_Eastern:Schedule 3D_Income_The Cape'!BC77)</f>
        <v>0</v>
      </c>
      <c r="BD77" s="671">
        <f>SUM('Schedule 3B_Income_Eastern:Schedule 3D_Income_The Cape'!BD77)</f>
        <v>0</v>
      </c>
      <c r="BE77" s="671">
        <f>SUM('Schedule 3B_Income_Eastern:Schedule 3D_Income_The Cape'!BE77)</f>
        <v>0</v>
      </c>
      <c r="BF77" s="671">
        <f>SUM('Schedule 3B_Income_Eastern:Schedule 3D_Income_The Cape'!BF77)</f>
        <v>0</v>
      </c>
      <c r="BG77" s="671">
        <f>SUM('Schedule 3B_Income_Eastern:Schedule 3D_Income_The Cape'!BG77)</f>
        <v>0</v>
      </c>
      <c r="BH77" s="674">
        <f t="shared" si="215"/>
        <v>0</v>
      </c>
      <c r="BI77" s="675">
        <f t="shared" si="216"/>
        <v>0</v>
      </c>
      <c r="BJ77" s="343">
        <v>49</v>
      </c>
      <c r="BK77" s="671">
        <f>SUM('Schedule 3B_Income_Eastern:Schedule 3D_Income_The Cape'!BK77)</f>
        <v>0</v>
      </c>
      <c r="BL77" s="671">
        <f>SUM('Schedule 3B_Income_Eastern:Schedule 3D_Income_The Cape'!BL77)</f>
        <v>0</v>
      </c>
      <c r="BM77" s="671">
        <f>SUM('Schedule 3B_Income_Eastern:Schedule 3D_Income_The Cape'!BM77)</f>
        <v>0</v>
      </c>
      <c r="BN77" s="671">
        <f>SUM('Schedule 3B_Income_Eastern:Schedule 3D_Income_The Cape'!BN77)</f>
        <v>0</v>
      </c>
      <c r="BO77" s="671">
        <f>SUM('Schedule 3B_Income_Eastern:Schedule 3D_Income_The Cape'!BO77)</f>
        <v>0</v>
      </c>
      <c r="BP77" s="671">
        <f>SUM('Schedule 3B_Income_Eastern:Schedule 3D_Income_The Cape'!BP77)</f>
        <v>0</v>
      </c>
      <c r="BQ77" s="671">
        <f>SUM('Schedule 3B_Income_Eastern:Schedule 3D_Income_The Cape'!BQ77)</f>
        <v>0</v>
      </c>
      <c r="BR77" s="671">
        <f>SUM('Schedule 3B_Income_Eastern:Schedule 3D_Income_The Cape'!BR77)</f>
        <v>0</v>
      </c>
      <c r="BS77" s="672">
        <f t="shared" si="217"/>
        <v>0</v>
      </c>
      <c r="BT77" s="673">
        <f>SUM('Schedule 3B_Income_Eastern:Schedule 3D_Income_The Cape'!BT77)</f>
        <v>0</v>
      </c>
      <c r="BU77" s="671">
        <f>SUM('Schedule 3B_Income_Eastern:Schedule 3D_Income_The Cape'!BU77)</f>
        <v>0</v>
      </c>
      <c r="BV77" s="671">
        <f>SUM('Schedule 3B_Income_Eastern:Schedule 3D_Income_The Cape'!BV77)</f>
        <v>0</v>
      </c>
      <c r="BW77" s="671">
        <f>SUM('Schedule 3B_Income_Eastern:Schedule 3D_Income_The Cape'!BW77)</f>
        <v>0</v>
      </c>
      <c r="BX77" s="671">
        <f>SUM('Schedule 3B_Income_Eastern:Schedule 3D_Income_The Cape'!BX77)</f>
        <v>0</v>
      </c>
      <c r="BY77" s="671">
        <f>SUM('Schedule 3B_Income_Eastern:Schedule 3D_Income_The Cape'!BY77)</f>
        <v>0</v>
      </c>
      <c r="BZ77" s="671">
        <f>SUM('Schedule 3B_Income_Eastern:Schedule 3D_Income_The Cape'!BZ77)</f>
        <v>0</v>
      </c>
      <c r="CA77" s="671">
        <f>SUM('Schedule 3B_Income_Eastern:Schedule 3D_Income_The Cape'!CA77)</f>
        <v>0</v>
      </c>
      <c r="CB77" s="674">
        <f t="shared" si="218"/>
        <v>0</v>
      </c>
      <c r="CC77" s="675">
        <f t="shared" si="219"/>
        <v>0</v>
      </c>
      <c r="CD77" s="343">
        <v>49</v>
      </c>
      <c r="CE77" s="462">
        <f t="shared" si="220"/>
        <v>0</v>
      </c>
      <c r="CF77" s="462">
        <f t="shared" si="221"/>
        <v>0</v>
      </c>
      <c r="CG77" s="462">
        <f t="shared" si="222"/>
        <v>0</v>
      </c>
      <c r="CH77" s="462">
        <f t="shared" si="223"/>
        <v>0</v>
      </c>
      <c r="CI77" s="464">
        <f t="shared" si="224"/>
        <v>0</v>
      </c>
      <c r="CJ77" s="462">
        <f t="shared" si="225"/>
        <v>0</v>
      </c>
      <c r="CK77" s="462">
        <f t="shared" si="226"/>
        <v>0</v>
      </c>
      <c r="CL77" s="462">
        <f t="shared" si="227"/>
        <v>0</v>
      </c>
      <c r="CM77" s="462">
        <f t="shared" si="228"/>
        <v>0</v>
      </c>
      <c r="CN77" s="464">
        <f t="shared" si="229"/>
        <v>0</v>
      </c>
      <c r="CO77" s="462">
        <f t="shared" si="230"/>
        <v>0</v>
      </c>
      <c r="CP77" s="462">
        <f t="shared" si="231"/>
        <v>0</v>
      </c>
      <c r="CQ77" s="462">
        <f t="shared" si="232"/>
        <v>0</v>
      </c>
      <c r="CR77" s="462">
        <f t="shared" si="233"/>
        <v>0</v>
      </c>
      <c r="CS77" s="464">
        <f t="shared" si="234"/>
        <v>0</v>
      </c>
    </row>
    <row r="78" spans="1:100" ht="15.75" customHeight="1" x14ac:dyDescent="0.25">
      <c r="A78" s="94" t="s">
        <v>1332</v>
      </c>
      <c r="B78" s="343">
        <v>50</v>
      </c>
      <c r="C78" s="671">
        <f>SUM('Schedule 3B_Income_Eastern:Schedule 3D_Income_The Cape'!C78)</f>
        <v>0</v>
      </c>
      <c r="D78" s="671">
        <f>SUM('Schedule 3B_Income_Eastern:Schedule 3D_Income_The Cape'!D78)</f>
        <v>0</v>
      </c>
      <c r="E78" s="671">
        <f>SUM('Schedule 3B_Income_Eastern:Schedule 3D_Income_The Cape'!E78)</f>
        <v>0</v>
      </c>
      <c r="F78" s="671">
        <f>SUM('Schedule 3B_Income_Eastern:Schedule 3D_Income_The Cape'!F78)</f>
        <v>0</v>
      </c>
      <c r="G78" s="671">
        <f>SUM('Schedule 3B_Income_Eastern:Schedule 3D_Income_The Cape'!G78)</f>
        <v>0</v>
      </c>
      <c r="H78" s="671">
        <f>SUM('Schedule 3B_Income_Eastern:Schedule 3D_Income_The Cape'!H78)</f>
        <v>0</v>
      </c>
      <c r="I78" s="671">
        <f>SUM('Schedule 3B_Income_Eastern:Schedule 3D_Income_The Cape'!I78)</f>
        <v>0</v>
      </c>
      <c r="J78" s="671">
        <f>SUM('Schedule 3B_Income_Eastern:Schedule 3D_Income_The Cape'!J78)</f>
        <v>0</v>
      </c>
      <c r="K78" s="672">
        <f t="shared" si="208"/>
        <v>0</v>
      </c>
      <c r="L78" s="673">
        <f>SUM('Schedule 3B_Income_Eastern:Schedule 3D_Income_The Cape'!L78)</f>
        <v>0</v>
      </c>
      <c r="M78" s="671">
        <f>SUM('Schedule 3B_Income_Eastern:Schedule 3D_Income_The Cape'!M78)</f>
        <v>0</v>
      </c>
      <c r="N78" s="671">
        <f>SUM('Schedule 3B_Income_Eastern:Schedule 3D_Income_The Cape'!N78)</f>
        <v>0</v>
      </c>
      <c r="O78" s="671">
        <f>SUM('Schedule 3B_Income_Eastern:Schedule 3D_Income_The Cape'!O78)</f>
        <v>0</v>
      </c>
      <c r="P78" s="671">
        <f>SUM('Schedule 3B_Income_Eastern:Schedule 3D_Income_The Cape'!P78)</f>
        <v>0</v>
      </c>
      <c r="Q78" s="671">
        <f>SUM('Schedule 3B_Income_Eastern:Schedule 3D_Income_The Cape'!Q78)</f>
        <v>0</v>
      </c>
      <c r="R78" s="671">
        <f>SUM('Schedule 3B_Income_Eastern:Schedule 3D_Income_The Cape'!R78)</f>
        <v>0</v>
      </c>
      <c r="S78" s="671">
        <f>SUM('Schedule 3B_Income_Eastern:Schedule 3D_Income_The Cape'!S78)</f>
        <v>0</v>
      </c>
      <c r="T78" s="674">
        <f t="shared" si="209"/>
        <v>0</v>
      </c>
      <c r="U78" s="675">
        <f t="shared" si="210"/>
        <v>0</v>
      </c>
      <c r="V78" s="343">
        <v>50</v>
      </c>
      <c r="W78" s="671">
        <f>SUM('Schedule 3B_Income_Eastern:Schedule 3D_Income_The Cape'!W78)</f>
        <v>0</v>
      </c>
      <c r="X78" s="671">
        <f>SUM('Schedule 3B_Income_Eastern:Schedule 3D_Income_The Cape'!X78)</f>
        <v>0</v>
      </c>
      <c r="Y78" s="671">
        <f>SUM('Schedule 3B_Income_Eastern:Schedule 3D_Income_The Cape'!Y78)</f>
        <v>0</v>
      </c>
      <c r="Z78" s="671">
        <f>SUM('Schedule 3B_Income_Eastern:Schedule 3D_Income_The Cape'!Z78)</f>
        <v>0</v>
      </c>
      <c r="AA78" s="671">
        <f>SUM('Schedule 3B_Income_Eastern:Schedule 3D_Income_The Cape'!AA78)</f>
        <v>0</v>
      </c>
      <c r="AB78" s="671">
        <f>SUM('Schedule 3B_Income_Eastern:Schedule 3D_Income_The Cape'!AB78)</f>
        <v>0</v>
      </c>
      <c r="AC78" s="671">
        <f>SUM('Schedule 3B_Income_Eastern:Schedule 3D_Income_The Cape'!AC78)</f>
        <v>0</v>
      </c>
      <c r="AD78" s="671">
        <f>SUM('Schedule 3B_Income_Eastern:Schedule 3D_Income_The Cape'!AD78)</f>
        <v>0</v>
      </c>
      <c r="AE78" s="672">
        <f t="shared" si="211"/>
        <v>0</v>
      </c>
      <c r="AF78" s="673">
        <f>SUM('Schedule 3B_Income_Eastern:Schedule 3D_Income_The Cape'!AF78)</f>
        <v>0</v>
      </c>
      <c r="AG78" s="671">
        <f>SUM('Schedule 3B_Income_Eastern:Schedule 3D_Income_The Cape'!AG78)</f>
        <v>0</v>
      </c>
      <c r="AH78" s="671">
        <f>SUM('Schedule 3B_Income_Eastern:Schedule 3D_Income_The Cape'!AH78)</f>
        <v>0</v>
      </c>
      <c r="AI78" s="671">
        <f>SUM('Schedule 3B_Income_Eastern:Schedule 3D_Income_The Cape'!AI78)</f>
        <v>0</v>
      </c>
      <c r="AJ78" s="671">
        <f>SUM('Schedule 3B_Income_Eastern:Schedule 3D_Income_The Cape'!AJ78)</f>
        <v>0</v>
      </c>
      <c r="AK78" s="671">
        <f>SUM('Schedule 3B_Income_Eastern:Schedule 3D_Income_The Cape'!AK78)</f>
        <v>0</v>
      </c>
      <c r="AL78" s="671">
        <f>SUM('Schedule 3B_Income_Eastern:Schedule 3D_Income_The Cape'!AL78)</f>
        <v>0</v>
      </c>
      <c r="AM78" s="671">
        <f>SUM('Schedule 3B_Income_Eastern:Schedule 3D_Income_The Cape'!AM78)</f>
        <v>0</v>
      </c>
      <c r="AN78" s="674">
        <f t="shared" si="212"/>
        <v>0</v>
      </c>
      <c r="AO78" s="675">
        <f t="shared" si="213"/>
        <v>0</v>
      </c>
      <c r="AP78" s="343">
        <v>50</v>
      </c>
      <c r="AQ78" s="671">
        <f>SUM('Schedule 3B_Income_Eastern:Schedule 3D_Income_The Cape'!AQ78)</f>
        <v>0</v>
      </c>
      <c r="AR78" s="671">
        <f>SUM('Schedule 3B_Income_Eastern:Schedule 3D_Income_The Cape'!AR78)</f>
        <v>0</v>
      </c>
      <c r="AS78" s="671">
        <f>SUM('Schedule 3B_Income_Eastern:Schedule 3D_Income_The Cape'!AS78)</f>
        <v>0</v>
      </c>
      <c r="AT78" s="671">
        <f>SUM('Schedule 3B_Income_Eastern:Schedule 3D_Income_The Cape'!AT78)</f>
        <v>0</v>
      </c>
      <c r="AU78" s="671">
        <f>SUM('Schedule 3B_Income_Eastern:Schedule 3D_Income_The Cape'!AU78)</f>
        <v>0</v>
      </c>
      <c r="AV78" s="671">
        <f>SUM('Schedule 3B_Income_Eastern:Schedule 3D_Income_The Cape'!AV78)</f>
        <v>0</v>
      </c>
      <c r="AW78" s="671">
        <f>SUM('Schedule 3B_Income_Eastern:Schedule 3D_Income_The Cape'!AW78)</f>
        <v>0</v>
      </c>
      <c r="AX78" s="671">
        <f>SUM('Schedule 3B_Income_Eastern:Schedule 3D_Income_The Cape'!AX78)</f>
        <v>0</v>
      </c>
      <c r="AY78" s="672">
        <f t="shared" si="214"/>
        <v>0</v>
      </c>
      <c r="AZ78" s="673">
        <f>SUM('Schedule 3B_Income_Eastern:Schedule 3D_Income_The Cape'!AZ78)</f>
        <v>0</v>
      </c>
      <c r="BA78" s="671">
        <f>SUM('Schedule 3B_Income_Eastern:Schedule 3D_Income_The Cape'!BA78)</f>
        <v>0</v>
      </c>
      <c r="BB78" s="671">
        <f>SUM('Schedule 3B_Income_Eastern:Schedule 3D_Income_The Cape'!BB78)</f>
        <v>0</v>
      </c>
      <c r="BC78" s="671">
        <f>SUM('Schedule 3B_Income_Eastern:Schedule 3D_Income_The Cape'!BC78)</f>
        <v>0</v>
      </c>
      <c r="BD78" s="671">
        <f>SUM('Schedule 3B_Income_Eastern:Schedule 3D_Income_The Cape'!BD78)</f>
        <v>0</v>
      </c>
      <c r="BE78" s="671">
        <f>SUM('Schedule 3B_Income_Eastern:Schedule 3D_Income_The Cape'!BE78)</f>
        <v>0</v>
      </c>
      <c r="BF78" s="671">
        <f>SUM('Schedule 3B_Income_Eastern:Schedule 3D_Income_The Cape'!BF78)</f>
        <v>0</v>
      </c>
      <c r="BG78" s="671">
        <f>SUM('Schedule 3B_Income_Eastern:Schedule 3D_Income_The Cape'!BG78)</f>
        <v>0</v>
      </c>
      <c r="BH78" s="674">
        <f t="shared" si="215"/>
        <v>0</v>
      </c>
      <c r="BI78" s="675">
        <f t="shared" si="216"/>
        <v>0</v>
      </c>
      <c r="BJ78" s="343">
        <v>50</v>
      </c>
      <c r="BK78" s="671">
        <f>SUM('Schedule 3B_Income_Eastern:Schedule 3D_Income_The Cape'!BK78)</f>
        <v>0</v>
      </c>
      <c r="BL78" s="671">
        <f>SUM('Schedule 3B_Income_Eastern:Schedule 3D_Income_The Cape'!BL78)</f>
        <v>0</v>
      </c>
      <c r="BM78" s="671">
        <f>SUM('Schedule 3B_Income_Eastern:Schedule 3D_Income_The Cape'!BM78)</f>
        <v>0</v>
      </c>
      <c r="BN78" s="671">
        <f>SUM('Schedule 3B_Income_Eastern:Schedule 3D_Income_The Cape'!BN78)</f>
        <v>0</v>
      </c>
      <c r="BO78" s="671">
        <f>SUM('Schedule 3B_Income_Eastern:Schedule 3D_Income_The Cape'!BO78)</f>
        <v>0</v>
      </c>
      <c r="BP78" s="671">
        <f>SUM('Schedule 3B_Income_Eastern:Schedule 3D_Income_The Cape'!BP78)</f>
        <v>0</v>
      </c>
      <c r="BQ78" s="671">
        <f>SUM('Schedule 3B_Income_Eastern:Schedule 3D_Income_The Cape'!BQ78)</f>
        <v>0</v>
      </c>
      <c r="BR78" s="671">
        <f>SUM('Schedule 3B_Income_Eastern:Schedule 3D_Income_The Cape'!BR78)</f>
        <v>0</v>
      </c>
      <c r="BS78" s="672">
        <f t="shared" si="217"/>
        <v>0</v>
      </c>
      <c r="BT78" s="673">
        <f>SUM('Schedule 3B_Income_Eastern:Schedule 3D_Income_The Cape'!BT78)</f>
        <v>0</v>
      </c>
      <c r="BU78" s="671">
        <f>SUM('Schedule 3B_Income_Eastern:Schedule 3D_Income_The Cape'!BU78)</f>
        <v>0</v>
      </c>
      <c r="BV78" s="671">
        <f>SUM('Schedule 3B_Income_Eastern:Schedule 3D_Income_The Cape'!BV78)</f>
        <v>0</v>
      </c>
      <c r="BW78" s="671">
        <f>SUM('Schedule 3B_Income_Eastern:Schedule 3D_Income_The Cape'!BW78)</f>
        <v>0</v>
      </c>
      <c r="BX78" s="671">
        <f>SUM('Schedule 3B_Income_Eastern:Schedule 3D_Income_The Cape'!BX78)</f>
        <v>0</v>
      </c>
      <c r="BY78" s="671">
        <f>SUM('Schedule 3B_Income_Eastern:Schedule 3D_Income_The Cape'!BY78)</f>
        <v>0</v>
      </c>
      <c r="BZ78" s="671">
        <f>SUM('Schedule 3B_Income_Eastern:Schedule 3D_Income_The Cape'!BZ78)</f>
        <v>0</v>
      </c>
      <c r="CA78" s="671">
        <f>SUM('Schedule 3B_Income_Eastern:Schedule 3D_Income_The Cape'!CA78)</f>
        <v>0</v>
      </c>
      <c r="CB78" s="674">
        <f t="shared" si="218"/>
        <v>0</v>
      </c>
      <c r="CC78" s="675">
        <f t="shared" si="219"/>
        <v>0</v>
      </c>
      <c r="CD78" s="343">
        <v>50</v>
      </c>
      <c r="CE78" s="462">
        <f t="shared" si="220"/>
        <v>0</v>
      </c>
      <c r="CF78" s="462">
        <f t="shared" si="221"/>
        <v>0</v>
      </c>
      <c r="CG78" s="462">
        <f t="shared" si="222"/>
        <v>0</v>
      </c>
      <c r="CH78" s="462">
        <f t="shared" si="223"/>
        <v>0</v>
      </c>
      <c r="CI78" s="464">
        <f t="shared" si="224"/>
        <v>0</v>
      </c>
      <c r="CJ78" s="462">
        <f t="shared" si="225"/>
        <v>0</v>
      </c>
      <c r="CK78" s="462">
        <f t="shared" si="226"/>
        <v>0</v>
      </c>
      <c r="CL78" s="462">
        <f t="shared" si="227"/>
        <v>0</v>
      </c>
      <c r="CM78" s="462">
        <f t="shared" si="228"/>
        <v>0</v>
      </c>
      <c r="CN78" s="464">
        <f t="shared" si="229"/>
        <v>0</v>
      </c>
      <c r="CO78" s="462">
        <f t="shared" si="230"/>
        <v>0</v>
      </c>
      <c r="CP78" s="462">
        <f t="shared" si="231"/>
        <v>0</v>
      </c>
      <c r="CQ78" s="462">
        <f t="shared" si="232"/>
        <v>0</v>
      </c>
      <c r="CR78" s="462">
        <f t="shared" si="233"/>
        <v>0</v>
      </c>
      <c r="CS78" s="464">
        <f t="shared" si="234"/>
        <v>0</v>
      </c>
    </row>
    <row r="79" spans="1:100" ht="15.75" customHeight="1" x14ac:dyDescent="0.25">
      <c r="A79" s="94" t="s">
        <v>332</v>
      </c>
      <c r="B79" s="343">
        <v>51</v>
      </c>
      <c r="C79" s="671">
        <f>SUM('Schedule 3B_Income_Eastern:Schedule 3D_Income_The Cape'!C79)</f>
        <v>11248.506380878258</v>
      </c>
      <c r="D79" s="671">
        <f>SUM('Schedule 3B_Income_Eastern:Schedule 3D_Income_The Cape'!D79)</f>
        <v>23654.210839762392</v>
      </c>
      <c r="E79" s="671">
        <f>SUM('Schedule 3B_Income_Eastern:Schedule 3D_Income_The Cape'!E79)</f>
        <v>11588.062801234129</v>
      </c>
      <c r="F79" s="671">
        <f>SUM('Schedule 3B_Income_Eastern:Schedule 3D_Income_The Cape'!F79)</f>
        <v>24535.677215732703</v>
      </c>
      <c r="G79" s="671">
        <f>SUM('Schedule 3B_Income_Eastern:Schedule 3D_Income_The Cape'!G79)</f>
        <v>11603.806763442037</v>
      </c>
      <c r="H79" s="671">
        <f>SUM('Schedule 3B_Income_Eastern:Schedule 3D_Income_The Cape'!H79)</f>
        <v>24877.197367237604</v>
      </c>
      <c r="I79" s="671">
        <f>SUM('Schedule 3B_Income_Eastern:Schedule 3D_Income_The Cape'!I79)</f>
        <v>12142.805454617892</v>
      </c>
      <c r="J79" s="671">
        <f>SUM('Schedule 3B_Income_Eastern:Schedule 3D_Income_The Cape'!J79)</f>
        <v>25409.967013955138</v>
      </c>
      <c r="K79" s="672">
        <f t="shared" si="208"/>
        <v>145060.23383686016</v>
      </c>
      <c r="L79" s="673">
        <f>SUM('Schedule 3B_Income_Eastern:Schedule 3D_Income_The Cape'!L79)</f>
        <v>0</v>
      </c>
      <c r="M79" s="671">
        <f>SUM('Schedule 3B_Income_Eastern:Schedule 3D_Income_The Cape'!M79)</f>
        <v>57107.186399997372</v>
      </c>
      <c r="N79" s="671">
        <f>SUM('Schedule 3B_Income_Eastern:Schedule 3D_Income_The Cape'!N79)</f>
        <v>0</v>
      </c>
      <c r="O79" s="671">
        <f>SUM('Schedule 3B_Income_Eastern:Schedule 3D_Income_The Cape'!O79)</f>
        <v>51412.781167018336</v>
      </c>
      <c r="P79" s="671">
        <f>SUM('Schedule 3B_Income_Eastern:Schedule 3D_Income_The Cape'!P79)</f>
        <v>0</v>
      </c>
      <c r="Q79" s="671">
        <f>SUM('Schedule 3B_Income_Eastern:Schedule 3D_Income_The Cape'!Q79)</f>
        <v>53986.547909571986</v>
      </c>
      <c r="R79" s="671">
        <f>SUM('Schedule 3B_Income_Eastern:Schedule 3D_Income_The Cape'!R79)</f>
        <v>0</v>
      </c>
      <c r="S79" s="671">
        <f>SUM('Schedule 3B_Income_Eastern:Schedule 3D_Income_The Cape'!S79)</f>
        <v>54556.118250452462</v>
      </c>
      <c r="T79" s="674">
        <f t="shared" si="209"/>
        <v>217062.63372704014</v>
      </c>
      <c r="U79" s="675">
        <f t="shared" si="210"/>
        <v>362122.8675639003</v>
      </c>
      <c r="V79" s="343">
        <v>51</v>
      </c>
      <c r="W79" s="671">
        <f>SUM('Schedule 3B_Income_Eastern:Schedule 3D_Income_The Cape'!W79)</f>
        <v>1838.2217600021449</v>
      </c>
      <c r="X79" s="671">
        <f>SUM('Schedule 3B_Income_Eastern:Schedule 3D_Income_The Cape'!X79)</f>
        <v>12214.238285982154</v>
      </c>
      <c r="Y79" s="671">
        <f>SUM('Schedule 3B_Income_Eastern:Schedule 3D_Income_The Cape'!Y79)</f>
        <v>1831.10409172352</v>
      </c>
      <c r="Z79" s="671">
        <f>SUM('Schedule 3B_Income_Eastern:Schedule 3D_Income_The Cape'!Z79)</f>
        <v>11720.433195619904</v>
      </c>
      <c r="AA79" s="671">
        <f>SUM('Schedule 3B_Income_Eastern:Schedule 3D_Income_The Cape'!AA79)</f>
        <v>1737.043108639167</v>
      </c>
      <c r="AB79" s="671">
        <f>SUM('Schedule 3B_Income_Eastern:Schedule 3D_Income_The Cape'!AB79)</f>
        <v>11429.267028337797</v>
      </c>
      <c r="AC79" s="671">
        <f>SUM('Schedule 3B_Income_Eastern:Schedule 3D_Income_The Cape'!AC79)</f>
        <v>1959.5519647760896</v>
      </c>
      <c r="AD79" s="671">
        <f>SUM('Schedule 3B_Income_Eastern:Schedule 3D_Income_The Cape'!AD79)</f>
        <v>11926.994869965907</v>
      </c>
      <c r="AE79" s="672">
        <f t="shared" si="211"/>
        <v>54656.854305046683</v>
      </c>
      <c r="AF79" s="673">
        <f>SUM('Schedule 3B_Income_Eastern:Schedule 3D_Income_The Cape'!AF79)</f>
        <v>0</v>
      </c>
      <c r="AG79" s="671">
        <f>SUM('Schedule 3B_Income_Eastern:Schedule 3D_Income_The Cape'!AG79)</f>
        <v>19180.510160333102</v>
      </c>
      <c r="AH79" s="671">
        <f>SUM('Schedule 3B_Income_Eastern:Schedule 3D_Income_The Cape'!AH79)</f>
        <v>0</v>
      </c>
      <c r="AI79" s="671">
        <f>SUM('Schedule 3B_Income_Eastern:Schedule 3D_Income_The Cape'!AI79)</f>
        <v>15570.497469733949</v>
      </c>
      <c r="AJ79" s="671">
        <f>SUM('Schedule 3B_Income_Eastern:Schedule 3D_Income_The Cape'!AJ79)</f>
        <v>0</v>
      </c>
      <c r="AK79" s="671">
        <f>SUM('Schedule 3B_Income_Eastern:Schedule 3D_Income_The Cape'!AK79)</f>
        <v>15974.092706754667</v>
      </c>
      <c r="AL79" s="671">
        <f>SUM('Schedule 3B_Income_Eastern:Schedule 3D_Income_The Cape'!AL79)</f>
        <v>0</v>
      </c>
      <c r="AM79" s="671">
        <f>SUM('Schedule 3B_Income_Eastern:Schedule 3D_Income_The Cape'!AM79)</f>
        <v>16285.565034297759</v>
      </c>
      <c r="AN79" s="674">
        <f t="shared" si="212"/>
        <v>67010.665371119467</v>
      </c>
      <c r="AO79" s="675">
        <f t="shared" si="213"/>
        <v>121667.51967616615</v>
      </c>
      <c r="AP79" s="343">
        <v>51</v>
      </c>
      <c r="AQ79" s="671">
        <f>SUM('Schedule 3B_Income_Eastern:Schedule 3D_Income_The Cape'!AQ79)</f>
        <v>201133.24448690165</v>
      </c>
      <c r="AR79" s="671">
        <f>SUM('Schedule 3B_Income_Eastern:Schedule 3D_Income_The Cape'!AR79)</f>
        <v>475604.23570027034</v>
      </c>
      <c r="AS79" s="671">
        <f>SUM('Schedule 3B_Income_Eastern:Schedule 3D_Income_The Cape'!AS79)</f>
        <v>216029.36336323616</v>
      </c>
      <c r="AT79" s="671">
        <f>SUM('Schedule 3B_Income_Eastern:Schedule 3D_Income_The Cape'!AT79)</f>
        <v>502246.65515721292</v>
      </c>
      <c r="AU79" s="671">
        <f>SUM('Schedule 3B_Income_Eastern:Schedule 3D_Income_The Cape'!AU79)</f>
        <v>220741.54770084153</v>
      </c>
      <c r="AV79" s="671">
        <f>SUM('Schedule 3B_Income_Eastern:Schedule 3D_Income_The Cape'!AV79)</f>
        <v>514578.56399161136</v>
      </c>
      <c r="AW79" s="671">
        <f>SUM('Schedule 3B_Income_Eastern:Schedule 3D_Income_The Cape'!AW79)</f>
        <v>240201.36050937214</v>
      </c>
      <c r="AX79" s="671">
        <f>SUM('Schedule 3B_Income_Eastern:Schedule 3D_Income_The Cape'!AX79)</f>
        <v>540762.06136196875</v>
      </c>
      <c r="AY79" s="672">
        <f t="shared" si="214"/>
        <v>2911297.032271415</v>
      </c>
      <c r="AZ79" s="673">
        <f>SUM('Schedule 3B_Income_Eastern:Schedule 3D_Income_The Cape'!AZ79)</f>
        <v>0</v>
      </c>
      <c r="BA79" s="671">
        <f>SUM('Schedule 3B_Income_Eastern:Schedule 3D_Income_The Cape'!BA79)</f>
        <v>444960.70726845704</v>
      </c>
      <c r="BB79" s="671">
        <f>SUM('Schedule 3B_Income_Eastern:Schedule 3D_Income_The Cape'!BB79)</f>
        <v>0</v>
      </c>
      <c r="BC79" s="671">
        <f>SUM('Schedule 3B_Income_Eastern:Schedule 3D_Income_The Cape'!BC79)</f>
        <v>359028.69002200343</v>
      </c>
      <c r="BD79" s="671">
        <f>SUM('Schedule 3B_Income_Eastern:Schedule 3D_Income_The Cape'!BD79)</f>
        <v>0</v>
      </c>
      <c r="BE79" s="671">
        <f>SUM('Schedule 3B_Income_Eastern:Schedule 3D_Income_The Cape'!BE79)</f>
        <v>397318.23460397206</v>
      </c>
      <c r="BF79" s="671">
        <f>SUM('Schedule 3B_Income_Eastern:Schedule 3D_Income_The Cape'!BF79)</f>
        <v>0</v>
      </c>
      <c r="BG79" s="671">
        <f>SUM('Schedule 3B_Income_Eastern:Schedule 3D_Income_The Cape'!BG79)</f>
        <v>401060.60674162721</v>
      </c>
      <c r="BH79" s="674">
        <f t="shared" si="215"/>
        <v>1602368.2386360597</v>
      </c>
      <c r="BI79" s="675">
        <f t="shared" si="216"/>
        <v>4513665.2709074747</v>
      </c>
      <c r="BJ79" s="343">
        <v>51</v>
      </c>
      <c r="BK79" s="671">
        <f>SUM('Schedule 3B_Income_Eastern:Schedule 3D_Income_The Cape'!BK79)</f>
        <v>4500.7543226739663</v>
      </c>
      <c r="BL79" s="671">
        <f>SUM('Schedule 3B_Income_Eastern:Schedule 3D_Income_The Cape'!BL79)</f>
        <v>50635.56963100694</v>
      </c>
      <c r="BM79" s="671">
        <f>SUM('Schedule 3B_Income_Eastern:Schedule 3D_Income_The Cape'!BM79)</f>
        <v>4644.8194933521918</v>
      </c>
      <c r="BN79" s="671">
        <f>SUM('Schedule 3B_Income_Eastern:Schedule 3D_Income_The Cape'!BN79)</f>
        <v>49796.54940386337</v>
      </c>
      <c r="BO79" s="671">
        <f>SUM('Schedule 3B_Income_Eastern:Schedule 3D_Income_The Cape'!BO79)</f>
        <v>4272.7345103742455</v>
      </c>
      <c r="BP79" s="671">
        <f>SUM('Schedule 3B_Income_Eastern:Schedule 3D_Income_The Cape'!BP79)</f>
        <v>47049.995592913168</v>
      </c>
      <c r="BQ79" s="671">
        <f>SUM('Schedule 3B_Income_Eastern:Schedule 3D_Income_The Cape'!BQ79)</f>
        <v>5159.421915256602</v>
      </c>
      <c r="BR79" s="671">
        <f>SUM('Schedule 3B_Income_Eastern:Schedule 3D_Income_The Cape'!BR79)</f>
        <v>49165.005037045608</v>
      </c>
      <c r="BS79" s="672">
        <f t="shared" si="217"/>
        <v>215224.84990648608</v>
      </c>
      <c r="BT79" s="673">
        <f>SUM('Schedule 3B_Income_Eastern:Schedule 3D_Income_The Cape'!BT79)</f>
        <v>0</v>
      </c>
      <c r="BU79" s="671">
        <f>SUM('Schedule 3B_Income_Eastern:Schedule 3D_Income_The Cape'!BU79)</f>
        <v>17456.98476373473</v>
      </c>
      <c r="BV79" s="671">
        <f>SUM('Schedule 3B_Income_Eastern:Schedule 3D_Income_The Cape'!BV79)</f>
        <v>0</v>
      </c>
      <c r="BW79" s="671">
        <f>SUM('Schedule 3B_Income_Eastern:Schedule 3D_Income_The Cape'!BW79)</f>
        <v>15018.366619269615</v>
      </c>
      <c r="BX79" s="671">
        <f>SUM('Schedule 3B_Income_Eastern:Schedule 3D_Income_The Cape'!BX79)</f>
        <v>0</v>
      </c>
      <c r="BY79" s="671">
        <f>SUM('Schedule 3B_Income_Eastern:Schedule 3D_Income_The Cape'!BY79)</f>
        <v>15172.648716304695</v>
      </c>
      <c r="BZ79" s="671">
        <f>SUM('Schedule 3B_Income_Eastern:Schedule 3D_Income_The Cape'!BZ79)</f>
        <v>0</v>
      </c>
      <c r="CA79" s="671">
        <f>SUM('Schedule 3B_Income_Eastern:Schedule 3D_Income_The Cape'!CA79)</f>
        <v>18031.701846664786</v>
      </c>
      <c r="CB79" s="674">
        <f t="shared" si="218"/>
        <v>65679.701945973822</v>
      </c>
      <c r="CC79" s="675">
        <f t="shared" si="219"/>
        <v>280904.5518524599</v>
      </c>
      <c r="CD79" s="343">
        <v>51</v>
      </c>
      <c r="CE79" s="462">
        <f t="shared" si="220"/>
        <v>780828.98140747787</v>
      </c>
      <c r="CF79" s="462">
        <f t="shared" si="221"/>
        <v>822392.66472197499</v>
      </c>
      <c r="CG79" s="462">
        <f t="shared" si="222"/>
        <v>836290.15606339695</v>
      </c>
      <c r="CH79" s="462">
        <f t="shared" si="223"/>
        <v>886727.16812695819</v>
      </c>
      <c r="CI79" s="464">
        <f t="shared" si="224"/>
        <v>3326238.970319808</v>
      </c>
      <c r="CJ79" s="462">
        <f t="shared" si="225"/>
        <v>538705.38859252224</v>
      </c>
      <c r="CK79" s="462">
        <f t="shared" si="226"/>
        <v>441030.3352780253</v>
      </c>
      <c r="CL79" s="462">
        <f t="shared" si="227"/>
        <v>482451.52393660339</v>
      </c>
      <c r="CM79" s="462">
        <f t="shared" si="228"/>
        <v>489933.99187304219</v>
      </c>
      <c r="CN79" s="464">
        <f t="shared" si="229"/>
        <v>1952121.2396801931</v>
      </c>
      <c r="CO79" s="462">
        <f t="shared" si="230"/>
        <v>1319534.3700000001</v>
      </c>
      <c r="CP79" s="462">
        <f t="shared" si="231"/>
        <v>1263423</v>
      </c>
      <c r="CQ79" s="462">
        <f t="shared" si="232"/>
        <v>1318741.6800000004</v>
      </c>
      <c r="CR79" s="462">
        <f t="shared" si="233"/>
        <v>1376661.1600000004</v>
      </c>
      <c r="CS79" s="464">
        <f t="shared" si="234"/>
        <v>5278360.2100000018</v>
      </c>
    </row>
    <row r="80" spans="1:100" ht="15.75" customHeight="1" x14ac:dyDescent="0.25">
      <c r="A80" s="94" t="s">
        <v>141</v>
      </c>
      <c r="B80" s="343">
        <v>52</v>
      </c>
      <c r="C80" s="671">
        <f>SUM('Schedule 3B_Income_Eastern:Schedule 3D_Income_The Cape'!C80)</f>
        <v>0</v>
      </c>
      <c r="D80" s="671">
        <f>SUM('Schedule 3B_Income_Eastern:Schedule 3D_Income_The Cape'!D80)</f>
        <v>0</v>
      </c>
      <c r="E80" s="671">
        <f>SUM('Schedule 3B_Income_Eastern:Schedule 3D_Income_The Cape'!E80)</f>
        <v>0</v>
      </c>
      <c r="F80" s="671">
        <f>SUM('Schedule 3B_Income_Eastern:Schedule 3D_Income_The Cape'!F80)</f>
        <v>0</v>
      </c>
      <c r="G80" s="671">
        <f>SUM('Schedule 3B_Income_Eastern:Schedule 3D_Income_The Cape'!G80)</f>
        <v>0</v>
      </c>
      <c r="H80" s="671">
        <f>SUM('Schedule 3B_Income_Eastern:Schedule 3D_Income_The Cape'!H80)</f>
        <v>0</v>
      </c>
      <c r="I80" s="671">
        <f>SUM('Schedule 3B_Income_Eastern:Schedule 3D_Income_The Cape'!I80)</f>
        <v>0</v>
      </c>
      <c r="J80" s="671">
        <f>SUM('Schedule 3B_Income_Eastern:Schedule 3D_Income_The Cape'!J80)</f>
        <v>0</v>
      </c>
      <c r="K80" s="672">
        <f t="shared" si="208"/>
        <v>0</v>
      </c>
      <c r="L80" s="673">
        <f>SUM('Schedule 3B_Income_Eastern:Schedule 3D_Income_The Cape'!L80)</f>
        <v>0</v>
      </c>
      <c r="M80" s="671">
        <f>SUM('Schedule 3B_Income_Eastern:Schedule 3D_Income_The Cape'!M80)</f>
        <v>0</v>
      </c>
      <c r="N80" s="671">
        <f>SUM('Schedule 3B_Income_Eastern:Schedule 3D_Income_The Cape'!N80)</f>
        <v>0</v>
      </c>
      <c r="O80" s="671">
        <f>SUM('Schedule 3B_Income_Eastern:Schedule 3D_Income_The Cape'!O80)</f>
        <v>0</v>
      </c>
      <c r="P80" s="671">
        <f>SUM('Schedule 3B_Income_Eastern:Schedule 3D_Income_The Cape'!P80)</f>
        <v>0</v>
      </c>
      <c r="Q80" s="671">
        <f>SUM('Schedule 3B_Income_Eastern:Schedule 3D_Income_The Cape'!Q80)</f>
        <v>0</v>
      </c>
      <c r="R80" s="671">
        <f>SUM('Schedule 3B_Income_Eastern:Schedule 3D_Income_The Cape'!R80)</f>
        <v>0</v>
      </c>
      <c r="S80" s="671">
        <f>SUM('Schedule 3B_Income_Eastern:Schedule 3D_Income_The Cape'!S80)</f>
        <v>0</v>
      </c>
      <c r="T80" s="674">
        <f t="shared" si="209"/>
        <v>0</v>
      </c>
      <c r="U80" s="675">
        <f t="shared" si="210"/>
        <v>0</v>
      </c>
      <c r="V80" s="343">
        <v>52</v>
      </c>
      <c r="W80" s="671">
        <f>SUM('Schedule 3B_Income_Eastern:Schedule 3D_Income_The Cape'!W80)</f>
        <v>0</v>
      </c>
      <c r="X80" s="671">
        <f>SUM('Schedule 3B_Income_Eastern:Schedule 3D_Income_The Cape'!X80)</f>
        <v>0</v>
      </c>
      <c r="Y80" s="671">
        <f>SUM('Schedule 3B_Income_Eastern:Schedule 3D_Income_The Cape'!Y80)</f>
        <v>0</v>
      </c>
      <c r="Z80" s="671">
        <f>SUM('Schedule 3B_Income_Eastern:Schedule 3D_Income_The Cape'!Z80)</f>
        <v>0</v>
      </c>
      <c r="AA80" s="671">
        <f>SUM('Schedule 3B_Income_Eastern:Schedule 3D_Income_The Cape'!AA80)</f>
        <v>0</v>
      </c>
      <c r="AB80" s="671">
        <f>SUM('Schedule 3B_Income_Eastern:Schedule 3D_Income_The Cape'!AB80)</f>
        <v>0</v>
      </c>
      <c r="AC80" s="671">
        <f>SUM('Schedule 3B_Income_Eastern:Schedule 3D_Income_The Cape'!AC80)</f>
        <v>0</v>
      </c>
      <c r="AD80" s="671">
        <f>SUM('Schedule 3B_Income_Eastern:Schedule 3D_Income_The Cape'!AD80)</f>
        <v>0</v>
      </c>
      <c r="AE80" s="672">
        <f t="shared" si="211"/>
        <v>0</v>
      </c>
      <c r="AF80" s="673">
        <f>SUM('Schedule 3B_Income_Eastern:Schedule 3D_Income_The Cape'!AF80)</f>
        <v>0</v>
      </c>
      <c r="AG80" s="671">
        <f>SUM('Schedule 3B_Income_Eastern:Schedule 3D_Income_The Cape'!AG80)</f>
        <v>0</v>
      </c>
      <c r="AH80" s="671">
        <f>SUM('Schedule 3B_Income_Eastern:Schedule 3D_Income_The Cape'!AH80)</f>
        <v>0</v>
      </c>
      <c r="AI80" s="671">
        <f>SUM('Schedule 3B_Income_Eastern:Schedule 3D_Income_The Cape'!AI80)</f>
        <v>0</v>
      </c>
      <c r="AJ80" s="671">
        <f>SUM('Schedule 3B_Income_Eastern:Schedule 3D_Income_The Cape'!AJ80)</f>
        <v>0</v>
      </c>
      <c r="AK80" s="671">
        <f>SUM('Schedule 3B_Income_Eastern:Schedule 3D_Income_The Cape'!AK80)</f>
        <v>0</v>
      </c>
      <c r="AL80" s="671">
        <f>SUM('Schedule 3B_Income_Eastern:Schedule 3D_Income_The Cape'!AL80)</f>
        <v>0</v>
      </c>
      <c r="AM80" s="671">
        <f>SUM('Schedule 3B_Income_Eastern:Schedule 3D_Income_The Cape'!AM80)</f>
        <v>0</v>
      </c>
      <c r="AN80" s="674">
        <f t="shared" si="212"/>
        <v>0</v>
      </c>
      <c r="AO80" s="675">
        <f t="shared" si="213"/>
        <v>0</v>
      </c>
      <c r="AP80" s="343">
        <v>52</v>
      </c>
      <c r="AQ80" s="671">
        <f>SUM('Schedule 3B_Income_Eastern:Schedule 3D_Income_The Cape'!AQ80)</f>
        <v>0</v>
      </c>
      <c r="AR80" s="671">
        <f>SUM('Schedule 3B_Income_Eastern:Schedule 3D_Income_The Cape'!AR80)</f>
        <v>0</v>
      </c>
      <c r="AS80" s="671">
        <f>SUM('Schedule 3B_Income_Eastern:Schedule 3D_Income_The Cape'!AS80)</f>
        <v>0</v>
      </c>
      <c r="AT80" s="671">
        <f>SUM('Schedule 3B_Income_Eastern:Schedule 3D_Income_The Cape'!AT80)</f>
        <v>0</v>
      </c>
      <c r="AU80" s="671">
        <f>SUM('Schedule 3B_Income_Eastern:Schedule 3D_Income_The Cape'!AU80)</f>
        <v>0</v>
      </c>
      <c r="AV80" s="671">
        <f>SUM('Schedule 3B_Income_Eastern:Schedule 3D_Income_The Cape'!AV80)</f>
        <v>0</v>
      </c>
      <c r="AW80" s="671">
        <f>SUM('Schedule 3B_Income_Eastern:Schedule 3D_Income_The Cape'!AW80)</f>
        <v>0</v>
      </c>
      <c r="AX80" s="671">
        <f>SUM('Schedule 3B_Income_Eastern:Schedule 3D_Income_The Cape'!AX80)</f>
        <v>0</v>
      </c>
      <c r="AY80" s="672">
        <f t="shared" si="214"/>
        <v>0</v>
      </c>
      <c r="AZ80" s="673">
        <f>SUM('Schedule 3B_Income_Eastern:Schedule 3D_Income_The Cape'!AZ80)</f>
        <v>0</v>
      </c>
      <c r="BA80" s="671">
        <f>SUM('Schedule 3B_Income_Eastern:Schedule 3D_Income_The Cape'!BA80)</f>
        <v>0</v>
      </c>
      <c r="BB80" s="671">
        <f>SUM('Schedule 3B_Income_Eastern:Schedule 3D_Income_The Cape'!BB80)</f>
        <v>0</v>
      </c>
      <c r="BC80" s="671">
        <f>SUM('Schedule 3B_Income_Eastern:Schedule 3D_Income_The Cape'!BC80)</f>
        <v>0</v>
      </c>
      <c r="BD80" s="671">
        <f>SUM('Schedule 3B_Income_Eastern:Schedule 3D_Income_The Cape'!BD80)</f>
        <v>0</v>
      </c>
      <c r="BE80" s="671">
        <f>SUM('Schedule 3B_Income_Eastern:Schedule 3D_Income_The Cape'!BE80)</f>
        <v>0</v>
      </c>
      <c r="BF80" s="671">
        <f>SUM('Schedule 3B_Income_Eastern:Schedule 3D_Income_The Cape'!BF80)</f>
        <v>0</v>
      </c>
      <c r="BG80" s="671">
        <f>SUM('Schedule 3B_Income_Eastern:Schedule 3D_Income_The Cape'!BG80)</f>
        <v>0</v>
      </c>
      <c r="BH80" s="674">
        <f t="shared" si="215"/>
        <v>0</v>
      </c>
      <c r="BI80" s="675">
        <f t="shared" si="216"/>
        <v>0</v>
      </c>
      <c r="BJ80" s="343">
        <v>52</v>
      </c>
      <c r="BK80" s="671">
        <f>SUM('Schedule 3B_Income_Eastern:Schedule 3D_Income_The Cape'!BK80)</f>
        <v>0</v>
      </c>
      <c r="BL80" s="671">
        <f>SUM('Schedule 3B_Income_Eastern:Schedule 3D_Income_The Cape'!BL80)</f>
        <v>0</v>
      </c>
      <c r="BM80" s="671">
        <f>SUM('Schedule 3B_Income_Eastern:Schedule 3D_Income_The Cape'!BM80)</f>
        <v>0</v>
      </c>
      <c r="BN80" s="671">
        <f>SUM('Schedule 3B_Income_Eastern:Schedule 3D_Income_The Cape'!BN80)</f>
        <v>0</v>
      </c>
      <c r="BO80" s="671">
        <f>SUM('Schedule 3B_Income_Eastern:Schedule 3D_Income_The Cape'!BO80)</f>
        <v>0</v>
      </c>
      <c r="BP80" s="671">
        <f>SUM('Schedule 3B_Income_Eastern:Schedule 3D_Income_The Cape'!BP80)</f>
        <v>0</v>
      </c>
      <c r="BQ80" s="671">
        <f>SUM('Schedule 3B_Income_Eastern:Schedule 3D_Income_The Cape'!BQ80)</f>
        <v>0</v>
      </c>
      <c r="BR80" s="671">
        <f>SUM('Schedule 3B_Income_Eastern:Schedule 3D_Income_The Cape'!BR80)</f>
        <v>0</v>
      </c>
      <c r="BS80" s="672">
        <f t="shared" si="217"/>
        <v>0</v>
      </c>
      <c r="BT80" s="673">
        <f>SUM('Schedule 3B_Income_Eastern:Schedule 3D_Income_The Cape'!BT80)</f>
        <v>0</v>
      </c>
      <c r="BU80" s="671">
        <f>SUM('Schedule 3B_Income_Eastern:Schedule 3D_Income_The Cape'!BU80)</f>
        <v>0</v>
      </c>
      <c r="BV80" s="671">
        <f>SUM('Schedule 3B_Income_Eastern:Schedule 3D_Income_The Cape'!BV80)</f>
        <v>0</v>
      </c>
      <c r="BW80" s="671">
        <f>SUM('Schedule 3B_Income_Eastern:Schedule 3D_Income_The Cape'!BW80)</f>
        <v>0</v>
      </c>
      <c r="BX80" s="671">
        <f>SUM('Schedule 3B_Income_Eastern:Schedule 3D_Income_The Cape'!BX80)</f>
        <v>0</v>
      </c>
      <c r="BY80" s="671">
        <f>SUM('Schedule 3B_Income_Eastern:Schedule 3D_Income_The Cape'!BY80)</f>
        <v>0</v>
      </c>
      <c r="BZ80" s="671">
        <f>SUM('Schedule 3B_Income_Eastern:Schedule 3D_Income_The Cape'!BZ80)</f>
        <v>0</v>
      </c>
      <c r="CA80" s="671">
        <f>SUM('Schedule 3B_Income_Eastern:Schedule 3D_Income_The Cape'!CA80)</f>
        <v>0</v>
      </c>
      <c r="CB80" s="674">
        <f t="shared" si="218"/>
        <v>0</v>
      </c>
      <c r="CC80" s="675">
        <f t="shared" si="219"/>
        <v>0</v>
      </c>
      <c r="CD80" s="343">
        <v>52</v>
      </c>
      <c r="CE80" s="462">
        <f t="shared" si="220"/>
        <v>0</v>
      </c>
      <c r="CF80" s="462">
        <f t="shared" si="221"/>
        <v>0</v>
      </c>
      <c r="CG80" s="462">
        <f t="shared" si="222"/>
        <v>0</v>
      </c>
      <c r="CH80" s="462">
        <f t="shared" si="223"/>
        <v>0</v>
      </c>
      <c r="CI80" s="464">
        <f t="shared" si="224"/>
        <v>0</v>
      </c>
      <c r="CJ80" s="462">
        <f t="shared" si="225"/>
        <v>0</v>
      </c>
      <c r="CK80" s="462">
        <f t="shared" si="226"/>
        <v>0</v>
      </c>
      <c r="CL80" s="462">
        <f t="shared" si="227"/>
        <v>0</v>
      </c>
      <c r="CM80" s="462">
        <f t="shared" si="228"/>
        <v>0</v>
      </c>
      <c r="CN80" s="464">
        <f t="shared" si="229"/>
        <v>0</v>
      </c>
      <c r="CO80" s="462">
        <f t="shared" si="230"/>
        <v>0</v>
      </c>
      <c r="CP80" s="462">
        <f t="shared" si="231"/>
        <v>0</v>
      </c>
      <c r="CQ80" s="462">
        <f t="shared" si="232"/>
        <v>0</v>
      </c>
      <c r="CR80" s="462">
        <f t="shared" si="233"/>
        <v>0</v>
      </c>
      <c r="CS80" s="464">
        <f t="shared" si="234"/>
        <v>0</v>
      </c>
    </row>
    <row r="81" spans="1:99" ht="15.75" customHeight="1" x14ac:dyDescent="0.25">
      <c r="A81" s="94" t="s">
        <v>257</v>
      </c>
      <c r="B81" s="343">
        <v>53</v>
      </c>
      <c r="C81" s="671">
        <f>SUM('Schedule 3B_Income_Eastern:Schedule 3D_Income_The Cape'!C81)</f>
        <v>42211.312535119876</v>
      </c>
      <c r="D81" s="671">
        <f>SUM('Schedule 3B_Income_Eastern:Schedule 3D_Income_The Cape'!D81)</f>
        <v>88765.143808441542</v>
      </c>
      <c r="E81" s="671">
        <f>SUM('Schedule 3B_Income_Eastern:Schedule 3D_Income_The Cape'!E81)</f>
        <v>84647.915339603525</v>
      </c>
      <c r="F81" s="671">
        <f>SUM('Schedule 3B_Income_Eastern:Schedule 3D_Income_The Cape'!F81)</f>
        <v>179227.01692089482</v>
      </c>
      <c r="G81" s="671">
        <f>SUM('Schedule 3B_Income_Eastern:Schedule 3D_Income_The Cape'!G81)</f>
        <v>82936.184264679774</v>
      </c>
      <c r="H81" s="671">
        <f>SUM('Schedule 3B_Income_Eastern:Schedule 3D_Income_The Cape'!H81)</f>
        <v>177805.42772723769</v>
      </c>
      <c r="I81" s="671">
        <f>SUM('Schedule 3B_Income_Eastern:Schedule 3D_Income_The Cape'!I81)</f>
        <v>90521.620892597653</v>
      </c>
      <c r="J81" s="671">
        <f>SUM('Schedule 3B_Income_Eastern:Schedule 3D_Income_The Cape'!J81)</f>
        <v>189425.03933931634</v>
      </c>
      <c r="K81" s="672">
        <f t="shared" si="208"/>
        <v>935539.6608278912</v>
      </c>
      <c r="L81" s="673">
        <f>SUM('Schedule 3B_Income_Eastern:Schedule 3D_Income_The Cape'!L81)</f>
        <v>0</v>
      </c>
      <c r="M81" s="671">
        <f>SUM('Schedule 3B_Income_Eastern:Schedule 3D_Income_The Cape'!M81)</f>
        <v>214301.27801051439</v>
      </c>
      <c r="N81" s="671">
        <f>SUM('Schedule 3B_Income_Eastern:Schedule 3D_Income_The Cape'!N81)</f>
        <v>0</v>
      </c>
      <c r="O81" s="671">
        <f>SUM('Schedule 3B_Income_Eastern:Schedule 3D_Income_The Cape'!O81)</f>
        <v>375557.57353471057</v>
      </c>
      <c r="P81" s="671">
        <f>SUM('Schedule 3B_Income_Eastern:Schedule 3D_Income_The Cape'!P81)</f>
        <v>0</v>
      </c>
      <c r="Q81" s="671">
        <f>SUM('Schedule 3B_Income_Eastern:Schedule 3D_Income_The Cape'!Q81)</f>
        <v>385859.43186751963</v>
      </c>
      <c r="R81" s="671">
        <f>SUM('Schedule 3B_Income_Eastern:Schedule 3D_Income_The Cape'!R81)</f>
        <v>0</v>
      </c>
      <c r="S81" s="671">
        <f>SUM('Schedule 3B_Income_Eastern:Schedule 3D_Income_The Cape'!S81)</f>
        <v>406702.41091288155</v>
      </c>
      <c r="T81" s="674">
        <f t="shared" si="209"/>
        <v>1382420.6943256261</v>
      </c>
      <c r="U81" s="675">
        <f t="shared" si="210"/>
        <v>2317960.3551535173</v>
      </c>
      <c r="V81" s="343">
        <v>53</v>
      </c>
      <c r="W81" s="671">
        <f>SUM('Schedule 3B_Income_Eastern:Schedule 3D_Income_The Cape'!W81)</f>
        <v>6898.1383477021527</v>
      </c>
      <c r="X81" s="671">
        <f>SUM('Schedule 3B_Income_Eastern:Schedule 3D_Income_The Cape'!X81)</f>
        <v>45835.332461958773</v>
      </c>
      <c r="Y81" s="671">
        <f>SUM('Schedule 3B_Income_Eastern:Schedule 3D_Income_The Cape'!Y81)</f>
        <v>13375.75976182203</v>
      </c>
      <c r="Z81" s="671">
        <f>SUM('Schedule 3B_Income_Eastern:Schedule 3D_Income_The Cape'!Z81)</f>
        <v>85614.848133257678</v>
      </c>
      <c r="AA81" s="671">
        <f>SUM('Schedule 3B_Income_Eastern:Schedule 3D_Income_The Cape'!AA81)</f>
        <v>12415.212547977362</v>
      </c>
      <c r="AB81" s="671">
        <f>SUM('Schedule 3B_Income_Eastern:Schedule 3D_Income_The Cape'!AB81)</f>
        <v>81688.691960885204</v>
      </c>
      <c r="AC81" s="671">
        <f>SUM('Schedule 3B_Income_Eastern:Schedule 3D_Income_The Cape'!AC81)</f>
        <v>14607.976775856851</v>
      </c>
      <c r="AD81" s="671">
        <f>SUM('Schedule 3B_Income_Eastern:Schedule 3D_Income_The Cape'!AD81)</f>
        <v>88912.80619145729</v>
      </c>
      <c r="AE81" s="672">
        <f t="shared" si="211"/>
        <v>349348.76618091739</v>
      </c>
      <c r="AF81" s="673">
        <f>SUM('Schedule 3B_Income_Eastern:Schedule 3D_Income_The Cape'!AF81)</f>
        <v>0</v>
      </c>
      <c r="AG81" s="671">
        <f>SUM('Schedule 3B_Income_Eastern:Schedule 3D_Income_The Cape'!AG81)</f>
        <v>71977.068025421555</v>
      </c>
      <c r="AH81" s="671">
        <f>SUM('Schedule 3B_Income_Eastern:Schedule 3D_Income_The Cape'!AH81)</f>
        <v>0</v>
      </c>
      <c r="AI81" s="671">
        <f>SUM('Schedule 3B_Income_Eastern:Schedule 3D_Income_The Cape'!AI81)</f>
        <v>113738.60965554848</v>
      </c>
      <c r="AJ81" s="671">
        <f>SUM('Schedule 3B_Income_Eastern:Schedule 3D_Income_The Cape'!AJ81)</f>
        <v>0</v>
      </c>
      <c r="AK81" s="671">
        <f>SUM('Schedule 3B_Income_Eastern:Schedule 3D_Income_The Cape'!AK81)</f>
        <v>114172.04053779834</v>
      </c>
      <c r="AL81" s="671">
        <f>SUM('Schedule 3B_Income_Eastern:Schedule 3D_Income_The Cape'!AL81)</f>
        <v>0</v>
      </c>
      <c r="AM81" s="671">
        <f>SUM('Schedule 3B_Income_Eastern:Schedule 3D_Income_The Cape'!AM81)</f>
        <v>121404.87217439618</v>
      </c>
      <c r="AN81" s="674">
        <f t="shared" si="212"/>
        <v>421292.59039316454</v>
      </c>
      <c r="AO81" s="675">
        <f t="shared" si="213"/>
        <v>770641.35657408193</v>
      </c>
      <c r="AP81" s="343">
        <v>53</v>
      </c>
      <c r="AQ81" s="671">
        <f>SUM('Schedule 3B_Income_Eastern:Schedule 3D_Income_The Cape'!AQ81)</f>
        <v>754775.60813513049</v>
      </c>
      <c r="AR81" s="671">
        <f>SUM('Schedule 3B_Income_Eastern:Schedule 3D_Income_The Cape'!AR81)</f>
        <v>1784759.5366348941</v>
      </c>
      <c r="AS81" s="671">
        <f>SUM('Schedule 3B_Income_Eastern:Schedule 3D_Income_The Cape'!AS81)</f>
        <v>1578040.7454205509</v>
      </c>
      <c r="AT81" s="671">
        <f>SUM('Schedule 3B_Income_Eastern:Schedule 3D_Income_The Cape'!AT81)</f>
        <v>3668786.8433729103</v>
      </c>
      <c r="AU81" s="671">
        <f>SUM('Schedule 3B_Income_Eastern:Schedule 3D_Income_The Cape'!AU81)</f>
        <v>1577711.6982562591</v>
      </c>
      <c r="AV81" s="671">
        <f>SUM('Schedule 3B_Income_Eastern:Schedule 3D_Income_The Cape'!AV81)</f>
        <v>3677860.5049092765</v>
      </c>
      <c r="AW81" s="671">
        <f>SUM('Schedule 3B_Income_Eastern:Schedule 3D_Income_The Cape'!AW81)</f>
        <v>1790641.9216859452</v>
      </c>
      <c r="AX81" s="671">
        <f>SUM('Schedule 3B_Income_Eastern:Schedule 3D_Income_The Cape'!AX81)</f>
        <v>4031247.8442197149</v>
      </c>
      <c r="AY81" s="672">
        <f t="shared" si="214"/>
        <v>18863824.702634681</v>
      </c>
      <c r="AZ81" s="673">
        <f>SUM('Schedule 3B_Income_Eastern:Schedule 3D_Income_The Cape'!AZ81)</f>
        <v>0</v>
      </c>
      <c r="BA81" s="671">
        <f>SUM('Schedule 3B_Income_Eastern:Schedule 3D_Income_The Cape'!BA81)</f>
        <v>1669766.1755595983</v>
      </c>
      <c r="BB81" s="671">
        <f>SUM('Schedule 3B_Income_Eastern:Schedule 3D_Income_The Cape'!BB81)</f>
        <v>0</v>
      </c>
      <c r="BC81" s="671">
        <f>SUM('Schedule 3B_Income_Eastern:Schedule 3D_Income_The Cape'!BC81)</f>
        <v>2622615.2445631083</v>
      </c>
      <c r="BD81" s="671">
        <f>SUM('Schedule 3B_Income_Eastern:Schedule 3D_Income_The Cape'!BD81)</f>
        <v>0</v>
      </c>
      <c r="BE81" s="671">
        <f>SUM('Schedule 3B_Income_Eastern:Schedule 3D_Income_The Cape'!BE81)</f>
        <v>2839762.7596357642</v>
      </c>
      <c r="BF81" s="671">
        <f>SUM('Schedule 3B_Income_Eastern:Schedule 3D_Income_The Cape'!BF81)</f>
        <v>0</v>
      </c>
      <c r="BG81" s="671">
        <f>SUM('Schedule 3B_Income_Eastern:Schedule 3D_Income_The Cape'!BG81)</f>
        <v>2989807.9429918039</v>
      </c>
      <c r="BH81" s="674">
        <f t="shared" si="215"/>
        <v>10121952.122750275</v>
      </c>
      <c r="BI81" s="675">
        <f t="shared" si="216"/>
        <v>28985776.825384956</v>
      </c>
      <c r="BJ81" s="343">
        <v>53</v>
      </c>
      <c r="BK81" s="671">
        <f>SUM('Schedule 3B_Income_Eastern:Schedule 3D_Income_The Cape'!BK81)</f>
        <v>16889.597687488636</v>
      </c>
      <c r="BL81" s="671">
        <f>SUM('Schedule 3B_Income_Eastern:Schedule 3D_Income_The Cape'!BL81)</f>
        <v>190015.79256084093</v>
      </c>
      <c r="BM81" s="671">
        <f>SUM('Schedule 3B_Income_Eastern:Schedule 3D_Income_The Cape'!BM81)</f>
        <v>33929.250642233608</v>
      </c>
      <c r="BN81" s="671">
        <f>SUM('Schedule 3B_Income_Eastern:Schedule 3D_Income_The Cape'!BN81)</f>
        <v>363751.40266703552</v>
      </c>
      <c r="BO81" s="671">
        <f>SUM('Schedule 3B_Income_Eastern:Schedule 3D_Income_The Cape'!BO81)</f>
        <v>30538.624426501548</v>
      </c>
      <c r="BP81" s="671">
        <f>SUM('Schedule 3B_Income_Eastern:Schedule 3D_Income_The Cape'!BP81)</f>
        <v>336281.63444086211</v>
      </c>
      <c r="BQ81" s="671">
        <f>SUM('Schedule 3B_Income_Eastern:Schedule 3D_Income_The Cape'!BQ81)</f>
        <v>38462.218338530976</v>
      </c>
      <c r="BR81" s="671">
        <f>SUM('Schedule 3B_Income_Eastern:Schedule 3D_Income_The Cape'!BR81)</f>
        <v>366512.99106942205</v>
      </c>
      <c r="BS81" s="672">
        <f t="shared" si="217"/>
        <v>1376381.5118329155</v>
      </c>
      <c r="BT81" s="673">
        <f>SUM('Schedule 3B_Income_Eastern:Schedule 3D_Income_The Cape'!BT81)</f>
        <v>0</v>
      </c>
      <c r="BU81" s="671">
        <f>SUM('Schedule 3B_Income_Eastern:Schedule 3D_Income_The Cape'!BU81)</f>
        <v>65509.340958857007</v>
      </c>
      <c r="BV81" s="671">
        <f>SUM('Schedule 3B_Income_Eastern:Schedule 3D_Income_The Cape'!BV81)</f>
        <v>0</v>
      </c>
      <c r="BW81" s="671">
        <f>SUM('Schedule 3B_Income_Eastern:Schedule 3D_Income_The Cape'!BW81)</f>
        <v>109705.43117799392</v>
      </c>
      <c r="BX81" s="671">
        <f>SUM('Schedule 3B_Income_Eastern:Schedule 3D_Income_The Cape'!BX81)</f>
        <v>0</v>
      </c>
      <c r="BY81" s="671">
        <f>SUM('Schedule 3B_Income_Eastern:Schedule 3D_Income_The Cape'!BY81)</f>
        <v>108443.85944819334</v>
      </c>
      <c r="BZ81" s="671">
        <f>SUM('Schedule 3B_Income_Eastern:Schedule 3D_Income_The Cape'!BZ81)</f>
        <v>0</v>
      </c>
      <c r="CA81" s="671">
        <f>SUM('Schedule 3B_Income_Eastern:Schedule 3D_Income_The Cape'!CA81)</f>
        <v>134421.89160589717</v>
      </c>
      <c r="CB81" s="674">
        <f t="shared" si="218"/>
        <v>418080.52319094143</v>
      </c>
      <c r="CC81" s="675">
        <f t="shared" si="219"/>
        <v>1794462.0350238569</v>
      </c>
      <c r="CD81" s="343">
        <v>53</v>
      </c>
      <c r="CE81" s="462">
        <f t="shared" si="220"/>
        <v>2930150.4621715765</v>
      </c>
      <c r="CF81" s="462">
        <f t="shared" si="221"/>
        <v>6007373.7822583076</v>
      </c>
      <c r="CG81" s="462">
        <f t="shared" si="222"/>
        <v>5977237.9785336796</v>
      </c>
      <c r="CH81" s="462">
        <f t="shared" si="223"/>
        <v>6610332.4185128408</v>
      </c>
      <c r="CI81" s="464">
        <f t="shared" si="224"/>
        <v>21525094.641476404</v>
      </c>
      <c r="CJ81" s="462">
        <f t="shared" si="225"/>
        <v>2021553.8625543911</v>
      </c>
      <c r="CK81" s="462">
        <f t="shared" si="226"/>
        <v>3221616.8589313612</v>
      </c>
      <c r="CL81" s="462">
        <f t="shared" si="227"/>
        <v>3448238.0914892759</v>
      </c>
      <c r="CM81" s="462">
        <f t="shared" si="228"/>
        <v>3652337.117684979</v>
      </c>
      <c r="CN81" s="464">
        <f t="shared" si="229"/>
        <v>12343745.930660008</v>
      </c>
      <c r="CO81" s="462">
        <f t="shared" si="230"/>
        <v>4951704.3247259678</v>
      </c>
      <c r="CP81" s="462">
        <f t="shared" si="231"/>
        <v>9228990.6411896721</v>
      </c>
      <c r="CQ81" s="462">
        <f t="shared" si="232"/>
        <v>9425476.0700229518</v>
      </c>
      <c r="CR81" s="462">
        <f t="shared" si="233"/>
        <v>10262669.536197819</v>
      </c>
      <c r="CS81" s="464">
        <f t="shared" si="234"/>
        <v>33868840.57213641</v>
      </c>
    </row>
    <row r="82" spans="1:99" ht="15.75" customHeight="1" x14ac:dyDescent="0.25">
      <c r="A82" s="94" t="s">
        <v>333</v>
      </c>
      <c r="B82" s="343">
        <v>54</v>
      </c>
      <c r="C82" s="671">
        <f>SUM('Schedule 3B_Income_Eastern:Schedule 3D_Income_The Cape'!C82)</f>
        <v>0</v>
      </c>
      <c r="D82" s="671">
        <f>SUM('Schedule 3B_Income_Eastern:Schedule 3D_Income_The Cape'!D82)</f>
        <v>0</v>
      </c>
      <c r="E82" s="671">
        <f>SUM('Schedule 3B_Income_Eastern:Schedule 3D_Income_The Cape'!E82)</f>
        <v>0</v>
      </c>
      <c r="F82" s="671">
        <f>SUM('Schedule 3B_Income_Eastern:Schedule 3D_Income_The Cape'!F82)</f>
        <v>0</v>
      </c>
      <c r="G82" s="671">
        <f>SUM('Schedule 3B_Income_Eastern:Schedule 3D_Income_The Cape'!G82)</f>
        <v>0</v>
      </c>
      <c r="H82" s="671">
        <f>SUM('Schedule 3B_Income_Eastern:Schedule 3D_Income_The Cape'!H82)</f>
        <v>0</v>
      </c>
      <c r="I82" s="671">
        <f>SUM('Schedule 3B_Income_Eastern:Schedule 3D_Income_The Cape'!I82)</f>
        <v>0</v>
      </c>
      <c r="J82" s="671">
        <f>SUM('Schedule 3B_Income_Eastern:Schedule 3D_Income_The Cape'!J82)</f>
        <v>0</v>
      </c>
      <c r="K82" s="672">
        <f t="shared" si="208"/>
        <v>0</v>
      </c>
      <c r="L82" s="673">
        <f>SUM('Schedule 3B_Income_Eastern:Schedule 3D_Income_The Cape'!L82)</f>
        <v>0</v>
      </c>
      <c r="M82" s="671">
        <f>SUM('Schedule 3B_Income_Eastern:Schedule 3D_Income_The Cape'!M82)</f>
        <v>0</v>
      </c>
      <c r="N82" s="671">
        <f>SUM('Schedule 3B_Income_Eastern:Schedule 3D_Income_The Cape'!N82)</f>
        <v>0</v>
      </c>
      <c r="O82" s="671">
        <f>SUM('Schedule 3B_Income_Eastern:Schedule 3D_Income_The Cape'!O82)</f>
        <v>0</v>
      </c>
      <c r="P82" s="671">
        <f>SUM('Schedule 3B_Income_Eastern:Schedule 3D_Income_The Cape'!P82)</f>
        <v>0</v>
      </c>
      <c r="Q82" s="671">
        <f>SUM('Schedule 3B_Income_Eastern:Schedule 3D_Income_The Cape'!Q82)</f>
        <v>0</v>
      </c>
      <c r="R82" s="671">
        <f>SUM('Schedule 3B_Income_Eastern:Schedule 3D_Income_The Cape'!R82)</f>
        <v>0</v>
      </c>
      <c r="S82" s="671">
        <f>SUM('Schedule 3B_Income_Eastern:Schedule 3D_Income_The Cape'!S82)</f>
        <v>0</v>
      </c>
      <c r="T82" s="674">
        <f t="shared" si="209"/>
        <v>0</v>
      </c>
      <c r="U82" s="675">
        <f t="shared" si="210"/>
        <v>0</v>
      </c>
      <c r="V82" s="343">
        <v>54</v>
      </c>
      <c r="W82" s="671">
        <f>SUM('Schedule 3B_Income_Eastern:Schedule 3D_Income_The Cape'!W82)</f>
        <v>0</v>
      </c>
      <c r="X82" s="671">
        <f>SUM('Schedule 3B_Income_Eastern:Schedule 3D_Income_The Cape'!X82)</f>
        <v>0</v>
      </c>
      <c r="Y82" s="671">
        <f>SUM('Schedule 3B_Income_Eastern:Schedule 3D_Income_The Cape'!Y82)</f>
        <v>0</v>
      </c>
      <c r="Z82" s="671">
        <f>SUM('Schedule 3B_Income_Eastern:Schedule 3D_Income_The Cape'!Z82)</f>
        <v>0</v>
      </c>
      <c r="AA82" s="671">
        <f>SUM('Schedule 3B_Income_Eastern:Schedule 3D_Income_The Cape'!AA82)</f>
        <v>0</v>
      </c>
      <c r="AB82" s="671">
        <f>SUM('Schedule 3B_Income_Eastern:Schedule 3D_Income_The Cape'!AB82)</f>
        <v>0</v>
      </c>
      <c r="AC82" s="671">
        <f>SUM('Schedule 3B_Income_Eastern:Schedule 3D_Income_The Cape'!AC82)</f>
        <v>0</v>
      </c>
      <c r="AD82" s="671">
        <f>SUM('Schedule 3B_Income_Eastern:Schedule 3D_Income_The Cape'!AD82)</f>
        <v>0</v>
      </c>
      <c r="AE82" s="672">
        <f t="shared" si="211"/>
        <v>0</v>
      </c>
      <c r="AF82" s="673">
        <f>SUM('Schedule 3B_Income_Eastern:Schedule 3D_Income_The Cape'!AF82)</f>
        <v>0</v>
      </c>
      <c r="AG82" s="671">
        <f>SUM('Schedule 3B_Income_Eastern:Schedule 3D_Income_The Cape'!AG82)</f>
        <v>0</v>
      </c>
      <c r="AH82" s="671">
        <f>SUM('Schedule 3B_Income_Eastern:Schedule 3D_Income_The Cape'!AH82)</f>
        <v>0</v>
      </c>
      <c r="AI82" s="671">
        <f>SUM('Schedule 3B_Income_Eastern:Schedule 3D_Income_The Cape'!AI82)</f>
        <v>0</v>
      </c>
      <c r="AJ82" s="671">
        <f>SUM('Schedule 3B_Income_Eastern:Schedule 3D_Income_The Cape'!AJ82)</f>
        <v>0</v>
      </c>
      <c r="AK82" s="671">
        <f>SUM('Schedule 3B_Income_Eastern:Schedule 3D_Income_The Cape'!AK82)</f>
        <v>0</v>
      </c>
      <c r="AL82" s="671">
        <f>SUM('Schedule 3B_Income_Eastern:Schedule 3D_Income_The Cape'!AL82)</f>
        <v>0</v>
      </c>
      <c r="AM82" s="671">
        <f>SUM('Schedule 3B_Income_Eastern:Schedule 3D_Income_The Cape'!AM82)</f>
        <v>0</v>
      </c>
      <c r="AN82" s="674">
        <f t="shared" si="212"/>
        <v>0</v>
      </c>
      <c r="AO82" s="675">
        <f t="shared" si="213"/>
        <v>0</v>
      </c>
      <c r="AP82" s="343">
        <v>54</v>
      </c>
      <c r="AQ82" s="671">
        <f>SUM('Schedule 3B_Income_Eastern:Schedule 3D_Income_The Cape'!AQ82)</f>
        <v>0</v>
      </c>
      <c r="AR82" s="671">
        <f>SUM('Schedule 3B_Income_Eastern:Schedule 3D_Income_The Cape'!AR82)</f>
        <v>0</v>
      </c>
      <c r="AS82" s="671">
        <f>SUM('Schedule 3B_Income_Eastern:Schedule 3D_Income_The Cape'!AS82)</f>
        <v>0</v>
      </c>
      <c r="AT82" s="671">
        <f>SUM('Schedule 3B_Income_Eastern:Schedule 3D_Income_The Cape'!AT82)</f>
        <v>0</v>
      </c>
      <c r="AU82" s="671">
        <f>SUM('Schedule 3B_Income_Eastern:Schedule 3D_Income_The Cape'!AU82)</f>
        <v>0</v>
      </c>
      <c r="AV82" s="671">
        <f>SUM('Schedule 3B_Income_Eastern:Schedule 3D_Income_The Cape'!AV82)</f>
        <v>0</v>
      </c>
      <c r="AW82" s="671">
        <f>SUM('Schedule 3B_Income_Eastern:Schedule 3D_Income_The Cape'!AW82)</f>
        <v>0</v>
      </c>
      <c r="AX82" s="671">
        <f>SUM('Schedule 3B_Income_Eastern:Schedule 3D_Income_The Cape'!AX82)</f>
        <v>0</v>
      </c>
      <c r="AY82" s="672">
        <f t="shared" si="214"/>
        <v>0</v>
      </c>
      <c r="AZ82" s="673">
        <f>SUM('Schedule 3B_Income_Eastern:Schedule 3D_Income_The Cape'!AZ82)</f>
        <v>0</v>
      </c>
      <c r="BA82" s="671">
        <f>SUM('Schedule 3B_Income_Eastern:Schedule 3D_Income_The Cape'!BA82)</f>
        <v>0</v>
      </c>
      <c r="BB82" s="671">
        <f>SUM('Schedule 3B_Income_Eastern:Schedule 3D_Income_The Cape'!BB82)</f>
        <v>0</v>
      </c>
      <c r="BC82" s="671">
        <f>SUM('Schedule 3B_Income_Eastern:Schedule 3D_Income_The Cape'!BC82)</f>
        <v>0</v>
      </c>
      <c r="BD82" s="671">
        <f>SUM('Schedule 3B_Income_Eastern:Schedule 3D_Income_The Cape'!BD82)</f>
        <v>0</v>
      </c>
      <c r="BE82" s="671">
        <f>SUM('Schedule 3B_Income_Eastern:Schedule 3D_Income_The Cape'!BE82)</f>
        <v>0</v>
      </c>
      <c r="BF82" s="671">
        <f>SUM('Schedule 3B_Income_Eastern:Schedule 3D_Income_The Cape'!BF82)</f>
        <v>0</v>
      </c>
      <c r="BG82" s="671">
        <f>SUM('Schedule 3B_Income_Eastern:Schedule 3D_Income_The Cape'!BG82)</f>
        <v>0</v>
      </c>
      <c r="BH82" s="674">
        <f t="shared" si="215"/>
        <v>0</v>
      </c>
      <c r="BI82" s="675">
        <f t="shared" si="216"/>
        <v>0</v>
      </c>
      <c r="BJ82" s="343">
        <v>54</v>
      </c>
      <c r="BK82" s="671">
        <f>SUM('Schedule 3B_Income_Eastern:Schedule 3D_Income_The Cape'!BK82)</f>
        <v>0</v>
      </c>
      <c r="BL82" s="671">
        <f>SUM('Schedule 3B_Income_Eastern:Schedule 3D_Income_The Cape'!BL82)</f>
        <v>0</v>
      </c>
      <c r="BM82" s="671">
        <f>SUM('Schedule 3B_Income_Eastern:Schedule 3D_Income_The Cape'!BM82)</f>
        <v>0</v>
      </c>
      <c r="BN82" s="671">
        <f>SUM('Schedule 3B_Income_Eastern:Schedule 3D_Income_The Cape'!BN82)</f>
        <v>0</v>
      </c>
      <c r="BO82" s="671">
        <f>SUM('Schedule 3B_Income_Eastern:Schedule 3D_Income_The Cape'!BO82)</f>
        <v>0</v>
      </c>
      <c r="BP82" s="671">
        <f>SUM('Schedule 3B_Income_Eastern:Schedule 3D_Income_The Cape'!BP82)</f>
        <v>0</v>
      </c>
      <c r="BQ82" s="671">
        <f>SUM('Schedule 3B_Income_Eastern:Schedule 3D_Income_The Cape'!BQ82)</f>
        <v>0</v>
      </c>
      <c r="BR82" s="671">
        <f>SUM('Schedule 3B_Income_Eastern:Schedule 3D_Income_The Cape'!BR82)</f>
        <v>0</v>
      </c>
      <c r="BS82" s="672">
        <f t="shared" si="217"/>
        <v>0</v>
      </c>
      <c r="BT82" s="673">
        <f>SUM('Schedule 3B_Income_Eastern:Schedule 3D_Income_The Cape'!BT82)</f>
        <v>0</v>
      </c>
      <c r="BU82" s="671">
        <f>SUM('Schedule 3B_Income_Eastern:Schedule 3D_Income_The Cape'!BU82)</f>
        <v>0</v>
      </c>
      <c r="BV82" s="671">
        <f>SUM('Schedule 3B_Income_Eastern:Schedule 3D_Income_The Cape'!BV82)</f>
        <v>0</v>
      </c>
      <c r="BW82" s="671">
        <f>SUM('Schedule 3B_Income_Eastern:Schedule 3D_Income_The Cape'!BW82)</f>
        <v>0</v>
      </c>
      <c r="BX82" s="671">
        <f>SUM('Schedule 3B_Income_Eastern:Schedule 3D_Income_The Cape'!BX82)</f>
        <v>0</v>
      </c>
      <c r="BY82" s="671">
        <f>SUM('Schedule 3B_Income_Eastern:Schedule 3D_Income_The Cape'!BY82)</f>
        <v>0</v>
      </c>
      <c r="BZ82" s="671">
        <f>SUM('Schedule 3B_Income_Eastern:Schedule 3D_Income_The Cape'!BZ82)</f>
        <v>0</v>
      </c>
      <c r="CA82" s="671">
        <f>SUM('Schedule 3B_Income_Eastern:Schedule 3D_Income_The Cape'!CA82)</f>
        <v>0</v>
      </c>
      <c r="CB82" s="674">
        <f t="shared" si="218"/>
        <v>0</v>
      </c>
      <c r="CC82" s="675">
        <f t="shared" si="219"/>
        <v>0</v>
      </c>
      <c r="CD82" s="343">
        <v>54</v>
      </c>
      <c r="CE82" s="462">
        <f t="shared" si="220"/>
        <v>0</v>
      </c>
      <c r="CF82" s="462">
        <f t="shared" si="221"/>
        <v>0</v>
      </c>
      <c r="CG82" s="462">
        <f t="shared" si="222"/>
        <v>0</v>
      </c>
      <c r="CH82" s="462">
        <f t="shared" si="223"/>
        <v>0</v>
      </c>
      <c r="CI82" s="464">
        <f t="shared" si="224"/>
        <v>0</v>
      </c>
      <c r="CJ82" s="462">
        <f t="shared" si="225"/>
        <v>0</v>
      </c>
      <c r="CK82" s="462">
        <f t="shared" si="226"/>
        <v>0</v>
      </c>
      <c r="CL82" s="462">
        <f t="shared" si="227"/>
        <v>0</v>
      </c>
      <c r="CM82" s="462">
        <f t="shared" si="228"/>
        <v>0</v>
      </c>
      <c r="CN82" s="464">
        <f t="shared" si="229"/>
        <v>0</v>
      </c>
      <c r="CO82" s="462">
        <f t="shared" si="230"/>
        <v>0</v>
      </c>
      <c r="CP82" s="462">
        <f t="shared" si="231"/>
        <v>0</v>
      </c>
      <c r="CQ82" s="462">
        <f t="shared" si="232"/>
        <v>0</v>
      </c>
      <c r="CR82" s="462">
        <f t="shared" si="233"/>
        <v>0</v>
      </c>
      <c r="CS82" s="464">
        <f t="shared" si="234"/>
        <v>0</v>
      </c>
    </row>
    <row r="83" spans="1:99" ht="15.75" customHeight="1" x14ac:dyDescent="0.25">
      <c r="A83" s="94" t="s">
        <v>319</v>
      </c>
      <c r="B83" s="343">
        <v>55</v>
      </c>
      <c r="C83" s="671">
        <f>SUM('Schedule 3B_Income_Eastern:Schedule 3D_Income_The Cape'!C83)</f>
        <v>0</v>
      </c>
      <c r="D83" s="671">
        <f>SUM('Schedule 3B_Income_Eastern:Schedule 3D_Income_The Cape'!D83)</f>
        <v>0</v>
      </c>
      <c r="E83" s="671">
        <f>SUM('Schedule 3B_Income_Eastern:Schedule 3D_Income_The Cape'!E83)</f>
        <v>0</v>
      </c>
      <c r="F83" s="671">
        <f>SUM('Schedule 3B_Income_Eastern:Schedule 3D_Income_The Cape'!F83)</f>
        <v>0</v>
      </c>
      <c r="G83" s="671">
        <f>SUM('Schedule 3B_Income_Eastern:Schedule 3D_Income_The Cape'!G83)</f>
        <v>0</v>
      </c>
      <c r="H83" s="671">
        <f>SUM('Schedule 3B_Income_Eastern:Schedule 3D_Income_The Cape'!H83)</f>
        <v>0</v>
      </c>
      <c r="I83" s="671">
        <f>SUM('Schedule 3B_Income_Eastern:Schedule 3D_Income_The Cape'!I83)</f>
        <v>0</v>
      </c>
      <c r="J83" s="671">
        <f>SUM('Schedule 3B_Income_Eastern:Schedule 3D_Income_The Cape'!J83)</f>
        <v>0</v>
      </c>
      <c r="K83" s="672">
        <f t="shared" si="208"/>
        <v>0</v>
      </c>
      <c r="L83" s="673">
        <f>SUM('Schedule 3B_Income_Eastern:Schedule 3D_Income_The Cape'!L83)</f>
        <v>0</v>
      </c>
      <c r="M83" s="671">
        <f>SUM('Schedule 3B_Income_Eastern:Schedule 3D_Income_The Cape'!M83)</f>
        <v>0</v>
      </c>
      <c r="N83" s="671">
        <f>SUM('Schedule 3B_Income_Eastern:Schedule 3D_Income_The Cape'!N83)</f>
        <v>0</v>
      </c>
      <c r="O83" s="671">
        <f>SUM('Schedule 3B_Income_Eastern:Schedule 3D_Income_The Cape'!O83)</f>
        <v>0</v>
      </c>
      <c r="P83" s="671">
        <f>SUM('Schedule 3B_Income_Eastern:Schedule 3D_Income_The Cape'!P83)</f>
        <v>0</v>
      </c>
      <c r="Q83" s="671">
        <f>SUM('Schedule 3B_Income_Eastern:Schedule 3D_Income_The Cape'!Q83)</f>
        <v>0</v>
      </c>
      <c r="R83" s="671">
        <f>SUM('Schedule 3B_Income_Eastern:Schedule 3D_Income_The Cape'!R83)</f>
        <v>0</v>
      </c>
      <c r="S83" s="671">
        <f>SUM('Schedule 3B_Income_Eastern:Schedule 3D_Income_The Cape'!S83)</f>
        <v>0</v>
      </c>
      <c r="T83" s="674">
        <f t="shared" si="209"/>
        <v>0</v>
      </c>
      <c r="U83" s="675">
        <f t="shared" si="210"/>
        <v>0</v>
      </c>
      <c r="V83" s="343">
        <v>55</v>
      </c>
      <c r="W83" s="671">
        <f>SUM('Schedule 3B_Income_Eastern:Schedule 3D_Income_The Cape'!W83)</f>
        <v>0</v>
      </c>
      <c r="X83" s="671">
        <f>SUM('Schedule 3B_Income_Eastern:Schedule 3D_Income_The Cape'!X83)</f>
        <v>0</v>
      </c>
      <c r="Y83" s="671">
        <f>SUM('Schedule 3B_Income_Eastern:Schedule 3D_Income_The Cape'!Y83)</f>
        <v>0</v>
      </c>
      <c r="Z83" s="671">
        <f>SUM('Schedule 3B_Income_Eastern:Schedule 3D_Income_The Cape'!Z83)</f>
        <v>0</v>
      </c>
      <c r="AA83" s="671">
        <f>SUM('Schedule 3B_Income_Eastern:Schedule 3D_Income_The Cape'!AA83)</f>
        <v>0</v>
      </c>
      <c r="AB83" s="671">
        <f>SUM('Schedule 3B_Income_Eastern:Schedule 3D_Income_The Cape'!AB83)</f>
        <v>0</v>
      </c>
      <c r="AC83" s="671">
        <f>SUM('Schedule 3B_Income_Eastern:Schedule 3D_Income_The Cape'!AC83)</f>
        <v>0</v>
      </c>
      <c r="AD83" s="671">
        <f>SUM('Schedule 3B_Income_Eastern:Schedule 3D_Income_The Cape'!AD83)</f>
        <v>0</v>
      </c>
      <c r="AE83" s="672">
        <f t="shared" si="211"/>
        <v>0</v>
      </c>
      <c r="AF83" s="673">
        <f>SUM('Schedule 3B_Income_Eastern:Schedule 3D_Income_The Cape'!AF83)</f>
        <v>0</v>
      </c>
      <c r="AG83" s="671">
        <f>SUM('Schedule 3B_Income_Eastern:Schedule 3D_Income_The Cape'!AG83)</f>
        <v>0</v>
      </c>
      <c r="AH83" s="671">
        <f>SUM('Schedule 3B_Income_Eastern:Schedule 3D_Income_The Cape'!AH83)</f>
        <v>0</v>
      </c>
      <c r="AI83" s="671">
        <f>SUM('Schedule 3B_Income_Eastern:Schedule 3D_Income_The Cape'!AI83)</f>
        <v>0</v>
      </c>
      <c r="AJ83" s="671">
        <f>SUM('Schedule 3B_Income_Eastern:Schedule 3D_Income_The Cape'!AJ83)</f>
        <v>0</v>
      </c>
      <c r="AK83" s="671">
        <f>SUM('Schedule 3B_Income_Eastern:Schedule 3D_Income_The Cape'!AK83)</f>
        <v>0</v>
      </c>
      <c r="AL83" s="671">
        <f>SUM('Schedule 3B_Income_Eastern:Schedule 3D_Income_The Cape'!AL83)</f>
        <v>0</v>
      </c>
      <c r="AM83" s="671">
        <f>SUM('Schedule 3B_Income_Eastern:Schedule 3D_Income_The Cape'!AM83)</f>
        <v>0</v>
      </c>
      <c r="AN83" s="674">
        <f t="shared" si="212"/>
        <v>0</v>
      </c>
      <c r="AO83" s="675">
        <f t="shared" si="213"/>
        <v>0</v>
      </c>
      <c r="AP83" s="343">
        <v>55</v>
      </c>
      <c r="AQ83" s="671">
        <f>SUM('Schedule 3B_Income_Eastern:Schedule 3D_Income_The Cape'!AQ83)</f>
        <v>0</v>
      </c>
      <c r="AR83" s="671">
        <f>SUM('Schedule 3B_Income_Eastern:Schedule 3D_Income_The Cape'!AR83)</f>
        <v>0</v>
      </c>
      <c r="AS83" s="671">
        <f>SUM('Schedule 3B_Income_Eastern:Schedule 3D_Income_The Cape'!AS83)</f>
        <v>0</v>
      </c>
      <c r="AT83" s="671">
        <f>SUM('Schedule 3B_Income_Eastern:Schedule 3D_Income_The Cape'!AT83)</f>
        <v>0</v>
      </c>
      <c r="AU83" s="671">
        <f>SUM('Schedule 3B_Income_Eastern:Schedule 3D_Income_The Cape'!AU83)</f>
        <v>0</v>
      </c>
      <c r="AV83" s="671">
        <f>SUM('Schedule 3B_Income_Eastern:Schedule 3D_Income_The Cape'!AV83)</f>
        <v>0</v>
      </c>
      <c r="AW83" s="671">
        <f>SUM('Schedule 3B_Income_Eastern:Schedule 3D_Income_The Cape'!AW83)</f>
        <v>0</v>
      </c>
      <c r="AX83" s="671">
        <f>SUM('Schedule 3B_Income_Eastern:Schedule 3D_Income_The Cape'!AX83)</f>
        <v>0</v>
      </c>
      <c r="AY83" s="672">
        <f t="shared" si="214"/>
        <v>0</v>
      </c>
      <c r="AZ83" s="673">
        <f>SUM('Schedule 3B_Income_Eastern:Schedule 3D_Income_The Cape'!AZ83)</f>
        <v>0</v>
      </c>
      <c r="BA83" s="671">
        <f>SUM('Schedule 3B_Income_Eastern:Schedule 3D_Income_The Cape'!BA83)</f>
        <v>0</v>
      </c>
      <c r="BB83" s="671">
        <f>SUM('Schedule 3B_Income_Eastern:Schedule 3D_Income_The Cape'!BB83)</f>
        <v>0</v>
      </c>
      <c r="BC83" s="671">
        <f>SUM('Schedule 3B_Income_Eastern:Schedule 3D_Income_The Cape'!BC83)</f>
        <v>0</v>
      </c>
      <c r="BD83" s="671">
        <f>SUM('Schedule 3B_Income_Eastern:Schedule 3D_Income_The Cape'!BD83)</f>
        <v>0</v>
      </c>
      <c r="BE83" s="671">
        <f>SUM('Schedule 3B_Income_Eastern:Schedule 3D_Income_The Cape'!BE83)</f>
        <v>0</v>
      </c>
      <c r="BF83" s="671">
        <f>SUM('Schedule 3B_Income_Eastern:Schedule 3D_Income_The Cape'!BF83)</f>
        <v>0</v>
      </c>
      <c r="BG83" s="671">
        <f>SUM('Schedule 3B_Income_Eastern:Schedule 3D_Income_The Cape'!BG83)</f>
        <v>0</v>
      </c>
      <c r="BH83" s="674">
        <f t="shared" si="215"/>
        <v>0</v>
      </c>
      <c r="BI83" s="675">
        <f t="shared" si="216"/>
        <v>0</v>
      </c>
      <c r="BJ83" s="343">
        <v>55</v>
      </c>
      <c r="BK83" s="671">
        <f>SUM('Schedule 3B_Income_Eastern:Schedule 3D_Income_The Cape'!BK83)</f>
        <v>0</v>
      </c>
      <c r="BL83" s="671">
        <f>SUM('Schedule 3B_Income_Eastern:Schedule 3D_Income_The Cape'!BL83)</f>
        <v>0</v>
      </c>
      <c r="BM83" s="671">
        <f>SUM('Schedule 3B_Income_Eastern:Schedule 3D_Income_The Cape'!BM83)</f>
        <v>0</v>
      </c>
      <c r="BN83" s="671">
        <f>SUM('Schedule 3B_Income_Eastern:Schedule 3D_Income_The Cape'!BN83)</f>
        <v>0</v>
      </c>
      <c r="BO83" s="671">
        <f>SUM('Schedule 3B_Income_Eastern:Schedule 3D_Income_The Cape'!BO83)</f>
        <v>0</v>
      </c>
      <c r="BP83" s="671">
        <f>SUM('Schedule 3B_Income_Eastern:Schedule 3D_Income_The Cape'!BP83)</f>
        <v>0</v>
      </c>
      <c r="BQ83" s="671">
        <f>SUM('Schedule 3B_Income_Eastern:Schedule 3D_Income_The Cape'!BQ83)</f>
        <v>0</v>
      </c>
      <c r="BR83" s="671">
        <f>SUM('Schedule 3B_Income_Eastern:Schedule 3D_Income_The Cape'!BR83)</f>
        <v>0</v>
      </c>
      <c r="BS83" s="672">
        <f t="shared" si="217"/>
        <v>0</v>
      </c>
      <c r="BT83" s="673">
        <f>SUM('Schedule 3B_Income_Eastern:Schedule 3D_Income_The Cape'!BT83)</f>
        <v>0</v>
      </c>
      <c r="BU83" s="671">
        <f>SUM('Schedule 3B_Income_Eastern:Schedule 3D_Income_The Cape'!BU83)</f>
        <v>0</v>
      </c>
      <c r="BV83" s="671">
        <f>SUM('Schedule 3B_Income_Eastern:Schedule 3D_Income_The Cape'!BV83)</f>
        <v>0</v>
      </c>
      <c r="BW83" s="671">
        <f>SUM('Schedule 3B_Income_Eastern:Schedule 3D_Income_The Cape'!BW83)</f>
        <v>0</v>
      </c>
      <c r="BX83" s="671">
        <f>SUM('Schedule 3B_Income_Eastern:Schedule 3D_Income_The Cape'!BX83)</f>
        <v>0</v>
      </c>
      <c r="BY83" s="671">
        <f>SUM('Schedule 3B_Income_Eastern:Schedule 3D_Income_The Cape'!BY83)</f>
        <v>0</v>
      </c>
      <c r="BZ83" s="671">
        <f>SUM('Schedule 3B_Income_Eastern:Schedule 3D_Income_The Cape'!BZ83)</f>
        <v>0</v>
      </c>
      <c r="CA83" s="671">
        <f>SUM('Schedule 3B_Income_Eastern:Schedule 3D_Income_The Cape'!CA83)</f>
        <v>0</v>
      </c>
      <c r="CB83" s="674">
        <f t="shared" si="218"/>
        <v>0</v>
      </c>
      <c r="CC83" s="675">
        <f t="shared" si="219"/>
        <v>0</v>
      </c>
      <c r="CD83" s="343">
        <v>55</v>
      </c>
      <c r="CE83" s="462">
        <f t="shared" si="220"/>
        <v>0</v>
      </c>
      <c r="CF83" s="462">
        <f t="shared" si="221"/>
        <v>0</v>
      </c>
      <c r="CG83" s="462">
        <f t="shared" si="222"/>
        <v>0</v>
      </c>
      <c r="CH83" s="462">
        <f t="shared" si="223"/>
        <v>0</v>
      </c>
      <c r="CI83" s="464">
        <f t="shared" si="224"/>
        <v>0</v>
      </c>
      <c r="CJ83" s="462">
        <f t="shared" si="225"/>
        <v>0</v>
      </c>
      <c r="CK83" s="462">
        <f t="shared" si="226"/>
        <v>0</v>
      </c>
      <c r="CL83" s="462">
        <f t="shared" si="227"/>
        <v>0</v>
      </c>
      <c r="CM83" s="462">
        <f t="shared" si="228"/>
        <v>0</v>
      </c>
      <c r="CN83" s="464">
        <f t="shared" si="229"/>
        <v>0</v>
      </c>
      <c r="CO83" s="462">
        <f t="shared" si="230"/>
        <v>0</v>
      </c>
      <c r="CP83" s="462">
        <f t="shared" si="231"/>
        <v>0</v>
      </c>
      <c r="CQ83" s="462">
        <f t="shared" si="232"/>
        <v>0</v>
      </c>
      <c r="CR83" s="462">
        <f t="shared" si="233"/>
        <v>0</v>
      </c>
      <c r="CS83" s="464">
        <f t="shared" si="234"/>
        <v>0</v>
      </c>
    </row>
    <row r="84" spans="1:99" ht="15.75" customHeight="1" x14ac:dyDescent="0.25">
      <c r="A84" s="94" t="s">
        <v>320</v>
      </c>
      <c r="B84" s="343">
        <v>56</v>
      </c>
      <c r="C84" s="671">
        <f>SUM('Schedule 3B_Income_Eastern:Schedule 3D_Income_The Cape'!C84)</f>
        <v>0</v>
      </c>
      <c r="D84" s="671">
        <f>SUM('Schedule 3B_Income_Eastern:Schedule 3D_Income_The Cape'!D84)</f>
        <v>0</v>
      </c>
      <c r="E84" s="671">
        <f>SUM('Schedule 3B_Income_Eastern:Schedule 3D_Income_The Cape'!E84)</f>
        <v>0</v>
      </c>
      <c r="F84" s="671">
        <f>SUM('Schedule 3B_Income_Eastern:Schedule 3D_Income_The Cape'!F84)</f>
        <v>0</v>
      </c>
      <c r="G84" s="671">
        <f>SUM('Schedule 3B_Income_Eastern:Schedule 3D_Income_The Cape'!G84)</f>
        <v>0</v>
      </c>
      <c r="H84" s="671">
        <f>SUM('Schedule 3B_Income_Eastern:Schedule 3D_Income_The Cape'!H84)</f>
        <v>0</v>
      </c>
      <c r="I84" s="671">
        <f>SUM('Schedule 3B_Income_Eastern:Schedule 3D_Income_The Cape'!I84)</f>
        <v>0</v>
      </c>
      <c r="J84" s="671">
        <f>SUM('Schedule 3B_Income_Eastern:Schedule 3D_Income_The Cape'!J84)</f>
        <v>0</v>
      </c>
      <c r="K84" s="672">
        <f t="shared" ref="K84" si="235">SUM(C84:J84)</f>
        <v>0</v>
      </c>
      <c r="L84" s="673">
        <f>SUM('Schedule 3B_Income_Eastern:Schedule 3D_Income_The Cape'!L84)</f>
        <v>0</v>
      </c>
      <c r="M84" s="671">
        <f>SUM('Schedule 3B_Income_Eastern:Schedule 3D_Income_The Cape'!M84)</f>
        <v>0</v>
      </c>
      <c r="N84" s="671">
        <f>SUM('Schedule 3B_Income_Eastern:Schedule 3D_Income_The Cape'!N84)</f>
        <v>0</v>
      </c>
      <c r="O84" s="671">
        <f>SUM('Schedule 3B_Income_Eastern:Schedule 3D_Income_The Cape'!O84)</f>
        <v>0</v>
      </c>
      <c r="P84" s="671">
        <f>SUM('Schedule 3B_Income_Eastern:Schedule 3D_Income_The Cape'!P84)</f>
        <v>0</v>
      </c>
      <c r="Q84" s="671">
        <f>SUM('Schedule 3B_Income_Eastern:Schedule 3D_Income_The Cape'!Q84)</f>
        <v>0</v>
      </c>
      <c r="R84" s="671">
        <f>SUM('Schedule 3B_Income_Eastern:Schedule 3D_Income_The Cape'!R84)</f>
        <v>0</v>
      </c>
      <c r="S84" s="671">
        <f>SUM('Schedule 3B_Income_Eastern:Schedule 3D_Income_The Cape'!S84)</f>
        <v>0</v>
      </c>
      <c r="T84" s="674">
        <f t="shared" ref="T84" si="236">SUM(L84:S84)</f>
        <v>0</v>
      </c>
      <c r="U84" s="675">
        <f t="shared" ref="U84" si="237">SUM(T84,K84)</f>
        <v>0</v>
      </c>
      <c r="V84" s="343">
        <v>56</v>
      </c>
      <c r="W84" s="671">
        <f>SUM('Schedule 3B_Income_Eastern:Schedule 3D_Income_The Cape'!W84)</f>
        <v>0</v>
      </c>
      <c r="X84" s="671">
        <f>SUM('Schedule 3B_Income_Eastern:Schedule 3D_Income_The Cape'!X84)</f>
        <v>0</v>
      </c>
      <c r="Y84" s="671">
        <f>SUM('Schedule 3B_Income_Eastern:Schedule 3D_Income_The Cape'!Y84)</f>
        <v>0</v>
      </c>
      <c r="Z84" s="671">
        <f>SUM('Schedule 3B_Income_Eastern:Schedule 3D_Income_The Cape'!Z84)</f>
        <v>0</v>
      </c>
      <c r="AA84" s="671">
        <f>SUM('Schedule 3B_Income_Eastern:Schedule 3D_Income_The Cape'!AA84)</f>
        <v>0</v>
      </c>
      <c r="AB84" s="671">
        <f>SUM('Schedule 3B_Income_Eastern:Schedule 3D_Income_The Cape'!AB84)</f>
        <v>0</v>
      </c>
      <c r="AC84" s="671">
        <f>SUM('Schedule 3B_Income_Eastern:Schedule 3D_Income_The Cape'!AC84)</f>
        <v>0</v>
      </c>
      <c r="AD84" s="671">
        <f>SUM('Schedule 3B_Income_Eastern:Schedule 3D_Income_The Cape'!AD84)</f>
        <v>0</v>
      </c>
      <c r="AE84" s="672">
        <f t="shared" ref="AE84" si="238">SUM(W84:AD84)</f>
        <v>0</v>
      </c>
      <c r="AF84" s="673">
        <f>SUM('Schedule 3B_Income_Eastern:Schedule 3D_Income_The Cape'!AF84)</f>
        <v>0</v>
      </c>
      <c r="AG84" s="671">
        <f>SUM('Schedule 3B_Income_Eastern:Schedule 3D_Income_The Cape'!AG84)</f>
        <v>0</v>
      </c>
      <c r="AH84" s="671">
        <f>SUM('Schedule 3B_Income_Eastern:Schedule 3D_Income_The Cape'!AH84)</f>
        <v>0</v>
      </c>
      <c r="AI84" s="671">
        <f>SUM('Schedule 3B_Income_Eastern:Schedule 3D_Income_The Cape'!AI84)</f>
        <v>0</v>
      </c>
      <c r="AJ84" s="671">
        <f>SUM('Schedule 3B_Income_Eastern:Schedule 3D_Income_The Cape'!AJ84)</f>
        <v>0</v>
      </c>
      <c r="AK84" s="671">
        <f>SUM('Schedule 3B_Income_Eastern:Schedule 3D_Income_The Cape'!AK84)</f>
        <v>0</v>
      </c>
      <c r="AL84" s="671">
        <f>SUM('Schedule 3B_Income_Eastern:Schedule 3D_Income_The Cape'!AL84)</f>
        <v>0</v>
      </c>
      <c r="AM84" s="671">
        <f>SUM('Schedule 3B_Income_Eastern:Schedule 3D_Income_The Cape'!AM84)</f>
        <v>0</v>
      </c>
      <c r="AN84" s="674">
        <f t="shared" ref="AN84" si="239">SUM(AF84:AM84)</f>
        <v>0</v>
      </c>
      <c r="AO84" s="675">
        <f t="shared" ref="AO84" si="240">SUM(AN84,AE84)</f>
        <v>0</v>
      </c>
      <c r="AP84" s="343">
        <v>56</v>
      </c>
      <c r="AQ84" s="671">
        <f>SUM('Schedule 3B_Income_Eastern:Schedule 3D_Income_The Cape'!AQ84)</f>
        <v>0</v>
      </c>
      <c r="AR84" s="671">
        <f>SUM('Schedule 3B_Income_Eastern:Schedule 3D_Income_The Cape'!AR84)</f>
        <v>0</v>
      </c>
      <c r="AS84" s="671">
        <f>SUM('Schedule 3B_Income_Eastern:Schedule 3D_Income_The Cape'!AS84)</f>
        <v>0</v>
      </c>
      <c r="AT84" s="671">
        <f>SUM('Schedule 3B_Income_Eastern:Schedule 3D_Income_The Cape'!AT84)</f>
        <v>0</v>
      </c>
      <c r="AU84" s="671">
        <f>SUM('Schedule 3B_Income_Eastern:Schedule 3D_Income_The Cape'!AU84)</f>
        <v>0</v>
      </c>
      <c r="AV84" s="671">
        <f>SUM('Schedule 3B_Income_Eastern:Schedule 3D_Income_The Cape'!AV84)</f>
        <v>0</v>
      </c>
      <c r="AW84" s="671">
        <f>SUM('Schedule 3B_Income_Eastern:Schedule 3D_Income_The Cape'!AW84)</f>
        <v>0</v>
      </c>
      <c r="AX84" s="671">
        <f>SUM('Schedule 3B_Income_Eastern:Schedule 3D_Income_The Cape'!AX84)</f>
        <v>0</v>
      </c>
      <c r="AY84" s="672">
        <f t="shared" ref="AY84" si="241">SUM(AQ84:AX84)</f>
        <v>0</v>
      </c>
      <c r="AZ84" s="673">
        <f>SUM('Schedule 3B_Income_Eastern:Schedule 3D_Income_The Cape'!AZ84)</f>
        <v>0</v>
      </c>
      <c r="BA84" s="671">
        <f>SUM('Schedule 3B_Income_Eastern:Schedule 3D_Income_The Cape'!BA84)</f>
        <v>0</v>
      </c>
      <c r="BB84" s="671">
        <f>SUM('Schedule 3B_Income_Eastern:Schedule 3D_Income_The Cape'!BB84)</f>
        <v>0</v>
      </c>
      <c r="BC84" s="671">
        <f>SUM('Schedule 3B_Income_Eastern:Schedule 3D_Income_The Cape'!BC84)</f>
        <v>0</v>
      </c>
      <c r="BD84" s="671">
        <f>SUM('Schedule 3B_Income_Eastern:Schedule 3D_Income_The Cape'!BD84)</f>
        <v>0</v>
      </c>
      <c r="BE84" s="671">
        <f>SUM('Schedule 3B_Income_Eastern:Schedule 3D_Income_The Cape'!BE84)</f>
        <v>0</v>
      </c>
      <c r="BF84" s="671">
        <f>SUM('Schedule 3B_Income_Eastern:Schedule 3D_Income_The Cape'!BF84)</f>
        <v>0</v>
      </c>
      <c r="BG84" s="671">
        <f>SUM('Schedule 3B_Income_Eastern:Schedule 3D_Income_The Cape'!BG84)</f>
        <v>0</v>
      </c>
      <c r="BH84" s="674">
        <f t="shared" ref="BH84" si="242">SUM(AZ84:BG84)</f>
        <v>0</v>
      </c>
      <c r="BI84" s="675">
        <f t="shared" ref="BI84" si="243">SUM(BH84,AY84)</f>
        <v>0</v>
      </c>
      <c r="BJ84" s="343">
        <v>56</v>
      </c>
      <c r="BK84" s="671">
        <f>SUM('Schedule 3B_Income_Eastern:Schedule 3D_Income_The Cape'!BK84)</f>
        <v>0</v>
      </c>
      <c r="BL84" s="671">
        <f>SUM('Schedule 3B_Income_Eastern:Schedule 3D_Income_The Cape'!BL84)</f>
        <v>0</v>
      </c>
      <c r="BM84" s="671">
        <f>SUM('Schedule 3B_Income_Eastern:Schedule 3D_Income_The Cape'!BM84)</f>
        <v>0</v>
      </c>
      <c r="BN84" s="671">
        <f>SUM('Schedule 3B_Income_Eastern:Schedule 3D_Income_The Cape'!BN84)</f>
        <v>0</v>
      </c>
      <c r="BO84" s="671">
        <f>SUM('Schedule 3B_Income_Eastern:Schedule 3D_Income_The Cape'!BO84)</f>
        <v>0</v>
      </c>
      <c r="BP84" s="671">
        <f>SUM('Schedule 3B_Income_Eastern:Schedule 3D_Income_The Cape'!BP84)</f>
        <v>0</v>
      </c>
      <c r="BQ84" s="671">
        <f>SUM('Schedule 3B_Income_Eastern:Schedule 3D_Income_The Cape'!BQ84)</f>
        <v>0</v>
      </c>
      <c r="BR84" s="671">
        <f>SUM('Schedule 3B_Income_Eastern:Schedule 3D_Income_The Cape'!BR84)</f>
        <v>0</v>
      </c>
      <c r="BS84" s="672">
        <f t="shared" ref="BS84" si="244">SUM(BK84:BR84)</f>
        <v>0</v>
      </c>
      <c r="BT84" s="673">
        <f>SUM('Schedule 3B_Income_Eastern:Schedule 3D_Income_The Cape'!BT84)</f>
        <v>0</v>
      </c>
      <c r="BU84" s="671">
        <f>SUM('Schedule 3B_Income_Eastern:Schedule 3D_Income_The Cape'!BU84)</f>
        <v>0</v>
      </c>
      <c r="BV84" s="671">
        <f>SUM('Schedule 3B_Income_Eastern:Schedule 3D_Income_The Cape'!BV84)</f>
        <v>0</v>
      </c>
      <c r="BW84" s="671">
        <f>SUM('Schedule 3B_Income_Eastern:Schedule 3D_Income_The Cape'!BW84)</f>
        <v>0</v>
      </c>
      <c r="BX84" s="671">
        <f>SUM('Schedule 3B_Income_Eastern:Schedule 3D_Income_The Cape'!BX84)</f>
        <v>0</v>
      </c>
      <c r="BY84" s="671">
        <f>SUM('Schedule 3B_Income_Eastern:Schedule 3D_Income_The Cape'!BY84)</f>
        <v>0</v>
      </c>
      <c r="BZ84" s="671">
        <f>SUM('Schedule 3B_Income_Eastern:Schedule 3D_Income_The Cape'!BZ84)</f>
        <v>0</v>
      </c>
      <c r="CA84" s="671">
        <f>SUM('Schedule 3B_Income_Eastern:Schedule 3D_Income_The Cape'!CA84)</f>
        <v>0</v>
      </c>
      <c r="CB84" s="674">
        <f t="shared" ref="CB84" si="245">SUM(BT84:CA84)</f>
        <v>0</v>
      </c>
      <c r="CC84" s="675">
        <f t="shared" ref="CC84" si="246">SUM(CB84,BS84)</f>
        <v>0</v>
      </c>
      <c r="CD84" s="343">
        <v>56</v>
      </c>
      <c r="CE84" s="462">
        <f t="shared" si="220"/>
        <v>0</v>
      </c>
      <c r="CF84" s="462">
        <f t="shared" si="221"/>
        <v>0</v>
      </c>
      <c r="CG84" s="462">
        <f t="shared" si="222"/>
        <v>0</v>
      </c>
      <c r="CH84" s="462">
        <f t="shared" si="223"/>
        <v>0</v>
      </c>
      <c r="CI84" s="464">
        <f t="shared" si="224"/>
        <v>0</v>
      </c>
      <c r="CJ84" s="462">
        <f t="shared" si="225"/>
        <v>0</v>
      </c>
      <c r="CK84" s="462">
        <f t="shared" si="226"/>
        <v>0</v>
      </c>
      <c r="CL84" s="462">
        <f t="shared" si="227"/>
        <v>0</v>
      </c>
      <c r="CM84" s="462">
        <f t="shared" si="228"/>
        <v>0</v>
      </c>
      <c r="CN84" s="464">
        <f t="shared" si="229"/>
        <v>0</v>
      </c>
      <c r="CO84" s="462">
        <f t="shared" si="230"/>
        <v>0</v>
      </c>
      <c r="CP84" s="462">
        <f t="shared" si="231"/>
        <v>0</v>
      </c>
      <c r="CQ84" s="462">
        <f t="shared" si="232"/>
        <v>0</v>
      </c>
      <c r="CR84" s="462">
        <f t="shared" si="233"/>
        <v>0</v>
      </c>
      <c r="CS84" s="464">
        <f t="shared" si="234"/>
        <v>0</v>
      </c>
    </row>
    <row r="85" spans="1:99" ht="15.75" customHeight="1" x14ac:dyDescent="0.25">
      <c r="A85" s="94" t="s">
        <v>335</v>
      </c>
      <c r="B85" s="343">
        <v>57</v>
      </c>
      <c r="C85" s="671">
        <f>SUM('Schedule 3B_Income_Eastern:Schedule 3D_Income_The Cape'!C85)</f>
        <v>0</v>
      </c>
      <c r="D85" s="671">
        <f>SUM('Schedule 3B_Income_Eastern:Schedule 3D_Income_The Cape'!D85)</f>
        <v>0</v>
      </c>
      <c r="E85" s="671">
        <f>SUM('Schedule 3B_Income_Eastern:Schedule 3D_Income_The Cape'!E85)</f>
        <v>0</v>
      </c>
      <c r="F85" s="671">
        <f>SUM('Schedule 3B_Income_Eastern:Schedule 3D_Income_The Cape'!F85)</f>
        <v>0</v>
      </c>
      <c r="G85" s="671">
        <f>SUM('Schedule 3B_Income_Eastern:Schedule 3D_Income_The Cape'!G85)</f>
        <v>0</v>
      </c>
      <c r="H85" s="671">
        <f>SUM('Schedule 3B_Income_Eastern:Schedule 3D_Income_The Cape'!H85)</f>
        <v>0</v>
      </c>
      <c r="I85" s="671">
        <f>SUM('Schedule 3B_Income_Eastern:Schedule 3D_Income_The Cape'!I85)</f>
        <v>0</v>
      </c>
      <c r="J85" s="671">
        <f>SUM('Schedule 3B_Income_Eastern:Schedule 3D_Income_The Cape'!J85)</f>
        <v>0</v>
      </c>
      <c r="K85" s="672">
        <f t="shared" si="208"/>
        <v>0</v>
      </c>
      <c r="L85" s="673">
        <f>SUM('Schedule 3B_Income_Eastern:Schedule 3D_Income_The Cape'!L85)</f>
        <v>0</v>
      </c>
      <c r="M85" s="671">
        <f>SUM('Schedule 3B_Income_Eastern:Schedule 3D_Income_The Cape'!M85)</f>
        <v>0</v>
      </c>
      <c r="N85" s="671">
        <f>SUM('Schedule 3B_Income_Eastern:Schedule 3D_Income_The Cape'!N85)</f>
        <v>0</v>
      </c>
      <c r="O85" s="671">
        <f>SUM('Schedule 3B_Income_Eastern:Schedule 3D_Income_The Cape'!O85)</f>
        <v>0</v>
      </c>
      <c r="P85" s="671">
        <f>SUM('Schedule 3B_Income_Eastern:Schedule 3D_Income_The Cape'!P85)</f>
        <v>0</v>
      </c>
      <c r="Q85" s="671">
        <f>SUM('Schedule 3B_Income_Eastern:Schedule 3D_Income_The Cape'!Q85)</f>
        <v>0</v>
      </c>
      <c r="R85" s="671">
        <f>SUM('Schedule 3B_Income_Eastern:Schedule 3D_Income_The Cape'!R85)</f>
        <v>0</v>
      </c>
      <c r="S85" s="671">
        <f>SUM('Schedule 3B_Income_Eastern:Schedule 3D_Income_The Cape'!S85)</f>
        <v>0</v>
      </c>
      <c r="T85" s="674">
        <f t="shared" si="209"/>
        <v>0</v>
      </c>
      <c r="U85" s="675">
        <f t="shared" si="210"/>
        <v>0</v>
      </c>
      <c r="V85" s="343">
        <v>57</v>
      </c>
      <c r="W85" s="671">
        <f>SUM('Schedule 3B_Income_Eastern:Schedule 3D_Income_The Cape'!W85)</f>
        <v>0</v>
      </c>
      <c r="X85" s="671">
        <f>SUM('Schedule 3B_Income_Eastern:Schedule 3D_Income_The Cape'!X85)</f>
        <v>0</v>
      </c>
      <c r="Y85" s="671">
        <f>SUM('Schedule 3B_Income_Eastern:Schedule 3D_Income_The Cape'!Y85)</f>
        <v>0</v>
      </c>
      <c r="Z85" s="671">
        <f>SUM('Schedule 3B_Income_Eastern:Schedule 3D_Income_The Cape'!Z85)</f>
        <v>0</v>
      </c>
      <c r="AA85" s="671">
        <f>SUM('Schedule 3B_Income_Eastern:Schedule 3D_Income_The Cape'!AA85)</f>
        <v>0</v>
      </c>
      <c r="AB85" s="671">
        <f>SUM('Schedule 3B_Income_Eastern:Schedule 3D_Income_The Cape'!AB85)</f>
        <v>0</v>
      </c>
      <c r="AC85" s="671">
        <f>SUM('Schedule 3B_Income_Eastern:Schedule 3D_Income_The Cape'!AC85)</f>
        <v>0</v>
      </c>
      <c r="AD85" s="671">
        <f>SUM('Schedule 3B_Income_Eastern:Schedule 3D_Income_The Cape'!AD85)</f>
        <v>0</v>
      </c>
      <c r="AE85" s="672">
        <f t="shared" si="211"/>
        <v>0</v>
      </c>
      <c r="AF85" s="673">
        <f>SUM('Schedule 3B_Income_Eastern:Schedule 3D_Income_The Cape'!AF85)</f>
        <v>0</v>
      </c>
      <c r="AG85" s="671">
        <f>SUM('Schedule 3B_Income_Eastern:Schedule 3D_Income_The Cape'!AG85)</f>
        <v>0</v>
      </c>
      <c r="AH85" s="671">
        <f>SUM('Schedule 3B_Income_Eastern:Schedule 3D_Income_The Cape'!AH85)</f>
        <v>0</v>
      </c>
      <c r="AI85" s="671">
        <f>SUM('Schedule 3B_Income_Eastern:Schedule 3D_Income_The Cape'!AI85)</f>
        <v>0</v>
      </c>
      <c r="AJ85" s="671">
        <f>SUM('Schedule 3B_Income_Eastern:Schedule 3D_Income_The Cape'!AJ85)</f>
        <v>0</v>
      </c>
      <c r="AK85" s="671">
        <f>SUM('Schedule 3B_Income_Eastern:Schedule 3D_Income_The Cape'!AK85)</f>
        <v>0</v>
      </c>
      <c r="AL85" s="671">
        <f>SUM('Schedule 3B_Income_Eastern:Schedule 3D_Income_The Cape'!AL85)</f>
        <v>0</v>
      </c>
      <c r="AM85" s="671">
        <f>SUM('Schedule 3B_Income_Eastern:Schedule 3D_Income_The Cape'!AM85)</f>
        <v>0</v>
      </c>
      <c r="AN85" s="674">
        <f t="shared" si="212"/>
        <v>0</v>
      </c>
      <c r="AO85" s="675">
        <f t="shared" si="213"/>
        <v>0</v>
      </c>
      <c r="AP85" s="343">
        <v>57</v>
      </c>
      <c r="AQ85" s="671">
        <f>SUM('Schedule 3B_Income_Eastern:Schedule 3D_Income_The Cape'!AQ85)</f>
        <v>0</v>
      </c>
      <c r="AR85" s="671">
        <f>SUM('Schedule 3B_Income_Eastern:Schedule 3D_Income_The Cape'!AR85)</f>
        <v>0</v>
      </c>
      <c r="AS85" s="671">
        <f>SUM('Schedule 3B_Income_Eastern:Schedule 3D_Income_The Cape'!AS85)</f>
        <v>0</v>
      </c>
      <c r="AT85" s="671">
        <f>SUM('Schedule 3B_Income_Eastern:Schedule 3D_Income_The Cape'!AT85)</f>
        <v>0</v>
      </c>
      <c r="AU85" s="671">
        <f>SUM('Schedule 3B_Income_Eastern:Schedule 3D_Income_The Cape'!AU85)</f>
        <v>0</v>
      </c>
      <c r="AV85" s="671">
        <f>SUM('Schedule 3B_Income_Eastern:Schedule 3D_Income_The Cape'!AV85)</f>
        <v>0</v>
      </c>
      <c r="AW85" s="671">
        <f>SUM('Schedule 3B_Income_Eastern:Schedule 3D_Income_The Cape'!AW85)</f>
        <v>0</v>
      </c>
      <c r="AX85" s="671">
        <f>SUM('Schedule 3B_Income_Eastern:Schedule 3D_Income_The Cape'!AX85)</f>
        <v>0</v>
      </c>
      <c r="AY85" s="672">
        <f t="shared" si="214"/>
        <v>0</v>
      </c>
      <c r="AZ85" s="673">
        <f>SUM('Schedule 3B_Income_Eastern:Schedule 3D_Income_The Cape'!AZ85)</f>
        <v>0</v>
      </c>
      <c r="BA85" s="671">
        <f>SUM('Schedule 3B_Income_Eastern:Schedule 3D_Income_The Cape'!BA85)</f>
        <v>0</v>
      </c>
      <c r="BB85" s="671">
        <f>SUM('Schedule 3B_Income_Eastern:Schedule 3D_Income_The Cape'!BB85)</f>
        <v>0</v>
      </c>
      <c r="BC85" s="671">
        <f>SUM('Schedule 3B_Income_Eastern:Schedule 3D_Income_The Cape'!BC85)</f>
        <v>0</v>
      </c>
      <c r="BD85" s="671">
        <f>SUM('Schedule 3B_Income_Eastern:Schedule 3D_Income_The Cape'!BD85)</f>
        <v>0</v>
      </c>
      <c r="BE85" s="671">
        <f>SUM('Schedule 3B_Income_Eastern:Schedule 3D_Income_The Cape'!BE85)</f>
        <v>0</v>
      </c>
      <c r="BF85" s="671">
        <f>SUM('Schedule 3B_Income_Eastern:Schedule 3D_Income_The Cape'!BF85)</f>
        <v>0</v>
      </c>
      <c r="BG85" s="671">
        <f>SUM('Schedule 3B_Income_Eastern:Schedule 3D_Income_The Cape'!BG85)</f>
        <v>0</v>
      </c>
      <c r="BH85" s="674">
        <f t="shared" si="215"/>
        <v>0</v>
      </c>
      <c r="BI85" s="675">
        <f t="shared" si="216"/>
        <v>0</v>
      </c>
      <c r="BJ85" s="343">
        <v>57</v>
      </c>
      <c r="BK85" s="671">
        <f>SUM('Schedule 3B_Income_Eastern:Schedule 3D_Income_The Cape'!BK85)</f>
        <v>0</v>
      </c>
      <c r="BL85" s="671">
        <f>SUM('Schedule 3B_Income_Eastern:Schedule 3D_Income_The Cape'!BL85)</f>
        <v>0</v>
      </c>
      <c r="BM85" s="671">
        <f>SUM('Schedule 3B_Income_Eastern:Schedule 3D_Income_The Cape'!BM85)</f>
        <v>0</v>
      </c>
      <c r="BN85" s="671">
        <f>SUM('Schedule 3B_Income_Eastern:Schedule 3D_Income_The Cape'!BN85)</f>
        <v>0</v>
      </c>
      <c r="BO85" s="671">
        <f>SUM('Schedule 3B_Income_Eastern:Schedule 3D_Income_The Cape'!BO85)</f>
        <v>0</v>
      </c>
      <c r="BP85" s="671">
        <f>SUM('Schedule 3B_Income_Eastern:Schedule 3D_Income_The Cape'!BP85)</f>
        <v>0</v>
      </c>
      <c r="BQ85" s="671">
        <f>SUM('Schedule 3B_Income_Eastern:Schedule 3D_Income_The Cape'!BQ85)</f>
        <v>0</v>
      </c>
      <c r="BR85" s="671">
        <f>SUM('Schedule 3B_Income_Eastern:Schedule 3D_Income_The Cape'!BR85)</f>
        <v>0</v>
      </c>
      <c r="BS85" s="672">
        <f t="shared" si="217"/>
        <v>0</v>
      </c>
      <c r="BT85" s="673">
        <f>SUM('Schedule 3B_Income_Eastern:Schedule 3D_Income_The Cape'!BT85)</f>
        <v>0</v>
      </c>
      <c r="BU85" s="671">
        <f>SUM('Schedule 3B_Income_Eastern:Schedule 3D_Income_The Cape'!BU85)</f>
        <v>0</v>
      </c>
      <c r="BV85" s="671">
        <f>SUM('Schedule 3B_Income_Eastern:Schedule 3D_Income_The Cape'!BV85)</f>
        <v>0</v>
      </c>
      <c r="BW85" s="671">
        <f>SUM('Schedule 3B_Income_Eastern:Schedule 3D_Income_The Cape'!BW85)</f>
        <v>0</v>
      </c>
      <c r="BX85" s="671">
        <f>SUM('Schedule 3B_Income_Eastern:Schedule 3D_Income_The Cape'!BX85)</f>
        <v>0</v>
      </c>
      <c r="BY85" s="671">
        <f>SUM('Schedule 3B_Income_Eastern:Schedule 3D_Income_The Cape'!BY85)</f>
        <v>0</v>
      </c>
      <c r="BZ85" s="671">
        <f>SUM('Schedule 3B_Income_Eastern:Schedule 3D_Income_The Cape'!BZ85)</f>
        <v>0</v>
      </c>
      <c r="CA85" s="671">
        <f>SUM('Schedule 3B_Income_Eastern:Schedule 3D_Income_The Cape'!CA85)</f>
        <v>0</v>
      </c>
      <c r="CB85" s="674">
        <f t="shared" si="218"/>
        <v>0</v>
      </c>
      <c r="CC85" s="675">
        <f t="shared" si="219"/>
        <v>0</v>
      </c>
      <c r="CD85" s="343">
        <v>57</v>
      </c>
      <c r="CE85" s="462">
        <f t="shared" si="220"/>
        <v>0</v>
      </c>
      <c r="CF85" s="462">
        <f t="shared" si="221"/>
        <v>0</v>
      </c>
      <c r="CG85" s="462">
        <f t="shared" si="222"/>
        <v>0</v>
      </c>
      <c r="CH85" s="462">
        <f t="shared" si="223"/>
        <v>0</v>
      </c>
      <c r="CI85" s="464">
        <f t="shared" si="224"/>
        <v>0</v>
      </c>
      <c r="CJ85" s="462">
        <f t="shared" si="225"/>
        <v>0</v>
      </c>
      <c r="CK85" s="462">
        <f t="shared" si="226"/>
        <v>0</v>
      </c>
      <c r="CL85" s="462">
        <f t="shared" si="227"/>
        <v>0</v>
      </c>
      <c r="CM85" s="462">
        <f t="shared" si="228"/>
        <v>0</v>
      </c>
      <c r="CN85" s="464">
        <f t="shared" si="229"/>
        <v>0</v>
      </c>
      <c r="CO85" s="462">
        <f t="shared" si="230"/>
        <v>0</v>
      </c>
      <c r="CP85" s="462">
        <f t="shared" si="231"/>
        <v>0</v>
      </c>
      <c r="CQ85" s="462">
        <f t="shared" si="232"/>
        <v>0</v>
      </c>
      <c r="CR85" s="462">
        <f t="shared" si="233"/>
        <v>0</v>
      </c>
      <c r="CS85" s="464">
        <f t="shared" si="234"/>
        <v>0</v>
      </c>
    </row>
    <row r="86" spans="1:99" ht="15.75" customHeight="1" x14ac:dyDescent="0.25">
      <c r="A86" s="94" t="s">
        <v>337</v>
      </c>
      <c r="B86" s="343">
        <v>58</v>
      </c>
      <c r="C86" s="671">
        <f>SUM('Schedule 3B_Income_Eastern:Schedule 3D_Income_The Cape'!C86)</f>
        <v>62718.880484896486</v>
      </c>
      <c r="D86" s="671">
        <f>SUM('Schedule 3B_Income_Eastern:Schedule 3D_Income_The Cape'!D86)</f>
        <v>131890.01031688679</v>
      </c>
      <c r="E86" s="671">
        <f>SUM('Schedule 3B_Income_Eastern:Schedule 3D_Income_The Cape'!E86)</f>
        <v>38249.49831328154</v>
      </c>
      <c r="F86" s="671">
        <f>SUM('Schedule 3B_Income_Eastern:Schedule 3D_Income_The Cape'!F86)</f>
        <v>80986.560081331321</v>
      </c>
      <c r="G86" s="671">
        <f>SUM('Schedule 3B_Income_Eastern:Schedule 3D_Income_The Cape'!G86)</f>
        <v>42411.694983040317</v>
      </c>
      <c r="H86" s="671">
        <f>SUM('Schedule 3B_Income_Eastern:Schedule 3D_Income_The Cape'!H86)</f>
        <v>90925.687430114136</v>
      </c>
      <c r="I86" s="671">
        <f>SUM('Schedule 3B_Income_Eastern:Schedule 3D_Income_The Cape'!I86)</f>
        <v>42892.101862178162</v>
      </c>
      <c r="J86" s="671">
        <f>SUM('Schedule 3B_Income_Eastern:Schedule 3D_Income_The Cape'!J86)</f>
        <v>89755.773289002871</v>
      </c>
      <c r="K86" s="672">
        <f t="shared" si="208"/>
        <v>579830.20676073164</v>
      </c>
      <c r="L86" s="673">
        <f>SUM('Schedule 3B_Income_Eastern:Schedule 3D_Income_The Cape'!L86)</f>
        <v>0</v>
      </c>
      <c r="M86" s="671">
        <f>SUM('Schedule 3B_Income_Eastern:Schedule 3D_Income_The Cape'!M86)</f>
        <v>318415.50134503195</v>
      </c>
      <c r="N86" s="671">
        <f>SUM('Schedule 3B_Income_Eastern:Schedule 3D_Income_The Cape'!N86)</f>
        <v>0</v>
      </c>
      <c r="O86" s="671">
        <f>SUM('Schedule 3B_Income_Eastern:Schedule 3D_Income_The Cape'!O86)</f>
        <v>169701.62487551823</v>
      </c>
      <c r="P86" s="671">
        <f>SUM('Schedule 3B_Income_Eastern:Schedule 3D_Income_The Cape'!P86)</f>
        <v>0</v>
      </c>
      <c r="Q86" s="671">
        <f>SUM('Schedule 3B_Income_Eastern:Schedule 3D_Income_The Cape'!Q86)</f>
        <v>197319.81493708346</v>
      </c>
      <c r="R86" s="671">
        <f>SUM('Schedule 3B_Income_Eastern:Schedule 3D_Income_The Cape'!R86)</f>
        <v>0</v>
      </c>
      <c r="S86" s="671">
        <f>SUM('Schedule 3B_Income_Eastern:Schedule 3D_Income_The Cape'!S86)</f>
        <v>192708.89169302594</v>
      </c>
      <c r="T86" s="674">
        <f t="shared" si="209"/>
        <v>878145.83285065962</v>
      </c>
      <c r="U86" s="675">
        <f t="shared" si="210"/>
        <v>1457976.0396113913</v>
      </c>
      <c r="V86" s="343">
        <v>58</v>
      </c>
      <c r="W86" s="671">
        <f>SUM('Schedule 3B_Income_Eastern:Schedule 3D_Income_The Cape'!W86)</f>
        <v>10249.468415317637</v>
      </c>
      <c r="X86" s="671">
        <f>SUM('Schedule 3B_Income_Eastern:Schedule 3D_Income_The Cape'!X86)</f>
        <v>68103.561960441279</v>
      </c>
      <c r="Y86" s="671">
        <f>SUM('Schedule 3B_Income_Eastern:Schedule 3D_Income_The Cape'!Y86)</f>
        <v>6044.0484375319902</v>
      </c>
      <c r="Z86" s="671">
        <f>SUM('Schedule 3B_Income_Eastern:Schedule 3D_Income_The Cape'!Z86)</f>
        <v>38686.422177402121</v>
      </c>
      <c r="AA86" s="671">
        <f>SUM('Schedule 3B_Income_Eastern:Schedule 3D_Income_The Cape'!AA86)</f>
        <v>6348.859817977831</v>
      </c>
      <c r="AB86" s="671">
        <f>SUM('Schedule 3B_Income_Eastern:Schedule 3D_Income_The Cape'!AB86)</f>
        <v>41773.755541392311</v>
      </c>
      <c r="AC86" s="671">
        <f>SUM('Schedule 3B_Income_Eastern:Schedule 3D_Income_The Cape'!AC86)</f>
        <v>6921.7367264534041</v>
      </c>
      <c r="AD86" s="671">
        <f>SUM('Schedule 3B_Income_Eastern:Schedule 3D_Income_The Cape'!AD86)</f>
        <v>42129.792887170348</v>
      </c>
      <c r="AE86" s="672">
        <f t="shared" si="211"/>
        <v>220257.64596368693</v>
      </c>
      <c r="AF86" s="673">
        <f>SUM('Schedule 3B_Income_Eastern:Schedule 3D_Income_The Cape'!AF86)</f>
        <v>0</v>
      </c>
      <c r="AG86" s="671">
        <f>SUM('Schedule 3B_Income_Eastern:Schedule 3D_Income_The Cape'!AG86)</f>
        <v>106945.76538892876</v>
      </c>
      <c r="AH86" s="671">
        <f>SUM('Schedule 3B_Income_Eastern:Schedule 3D_Income_The Cape'!AH86)</f>
        <v>0</v>
      </c>
      <c r="AI86" s="671">
        <f>SUM('Schedule 3B_Income_Eastern:Schedule 3D_Income_The Cape'!AI86)</f>
        <v>51394.588286328217</v>
      </c>
      <c r="AJ86" s="671">
        <f>SUM('Schedule 3B_Income_Eastern:Schedule 3D_Income_The Cape'!AJ86)</f>
        <v>0</v>
      </c>
      <c r="AK86" s="671">
        <f>SUM('Schedule 3B_Income_Eastern:Schedule 3D_Income_The Cape'!AK86)</f>
        <v>58385.00772385532</v>
      </c>
      <c r="AL86" s="671">
        <f>SUM('Schedule 3B_Income_Eastern:Schedule 3D_Income_The Cape'!AL86)</f>
        <v>0</v>
      </c>
      <c r="AM86" s="671">
        <f>SUM('Schedule 3B_Income_Eastern:Schedule 3D_Income_The Cape'!AM86)</f>
        <v>57525.595460197335</v>
      </c>
      <c r="AN86" s="674">
        <f t="shared" si="212"/>
        <v>274250.95685930963</v>
      </c>
      <c r="AO86" s="675">
        <f t="shared" si="213"/>
        <v>494508.60282299656</v>
      </c>
      <c r="AP86" s="343">
        <v>58</v>
      </c>
      <c r="AQ86" s="671">
        <f>SUM('Schedule 3B_Income_Eastern:Schedule 3D_Income_The Cape'!AQ86)</f>
        <v>1121469.0640135026</v>
      </c>
      <c r="AR86" s="671">
        <f>SUM('Schedule 3B_Income_Eastern:Schedule 3D_Income_The Cape'!AR86)</f>
        <v>2651851.20645918</v>
      </c>
      <c r="AS86" s="671">
        <f>SUM('Schedule 3B_Income_Eastern:Schedule 3D_Income_The Cape'!AS86)</f>
        <v>713062.65001440758</v>
      </c>
      <c r="AT86" s="671">
        <f>SUM('Schedule 3B_Income_Eastern:Schedule 3D_Income_The Cape'!AT86)</f>
        <v>1657799.3163137825</v>
      </c>
      <c r="AU86" s="671">
        <f>SUM('Schedule 3B_Income_Eastern:Schedule 3D_Income_The Cape'!AU86)</f>
        <v>806806.19576219842</v>
      </c>
      <c r="AV86" s="671">
        <f>SUM('Schedule 3B_Income_Eastern:Schedule 3D_Income_The Cape'!AV86)</f>
        <v>1880774.9513358343</v>
      </c>
      <c r="AW86" s="671">
        <f>SUM('Schedule 3B_Income_Eastern:Schedule 3D_Income_The Cape'!AW86)</f>
        <v>848464.65348612261</v>
      </c>
      <c r="AX86" s="671">
        <f>SUM('Schedule 3B_Income_Eastern:Schedule 3D_Income_The Cape'!AX86)</f>
        <v>1910136.9535915772</v>
      </c>
      <c r="AY86" s="672">
        <f t="shared" si="214"/>
        <v>11590364.990976607</v>
      </c>
      <c r="AZ86" s="673">
        <f>SUM('Schedule 3B_Income_Eastern:Schedule 3D_Income_The Cape'!AZ86)</f>
        <v>0</v>
      </c>
      <c r="BA86" s="671">
        <f>SUM('Schedule 3B_Income_Eastern:Schedule 3D_Income_The Cape'!BA86)</f>
        <v>2480990.4955102508</v>
      </c>
      <c r="BB86" s="671">
        <f>SUM('Schedule 3B_Income_Eastern:Schedule 3D_Income_The Cape'!BB86)</f>
        <v>0</v>
      </c>
      <c r="BC86" s="671">
        <f>SUM('Schedule 3B_Income_Eastern:Schedule 3D_Income_The Cape'!BC86)</f>
        <v>1185070.1458015721</v>
      </c>
      <c r="BD86" s="671">
        <f>SUM('Schedule 3B_Income_Eastern:Schedule 3D_Income_The Cape'!BD86)</f>
        <v>0</v>
      </c>
      <c r="BE86" s="671">
        <f>SUM('Schedule 3B_Income_Eastern:Schedule 3D_Income_The Cape'!BE86)</f>
        <v>1452190.6578376377</v>
      </c>
      <c r="BF86" s="671">
        <f>SUM('Schedule 3B_Income_Eastern:Schedule 3D_Income_The Cape'!BF86)</f>
        <v>0</v>
      </c>
      <c r="BG86" s="671">
        <f>SUM('Schedule 3B_Income_Eastern:Schedule 3D_Income_The Cape'!BG86)</f>
        <v>1416668.6983136034</v>
      </c>
      <c r="BH86" s="674">
        <f t="shared" si="215"/>
        <v>6534919.9974630643</v>
      </c>
      <c r="BI86" s="675">
        <f t="shared" si="216"/>
        <v>18125284.988439672</v>
      </c>
      <c r="BJ86" s="343">
        <v>58</v>
      </c>
      <c r="BK86" s="671">
        <f>SUM('Schedule 3B_Income_Eastern:Schedule 3D_Income_The Cape'!BK86)</f>
        <v>25095.089329862632</v>
      </c>
      <c r="BL86" s="671">
        <f>SUM('Schedule 3B_Income_Eastern:Schedule 3D_Income_The Cape'!BL86)</f>
        <v>282331.37204513175</v>
      </c>
      <c r="BM86" s="671">
        <f>SUM('Schedule 3B_Income_Eastern:Schedule 3D_Income_The Cape'!BM86)</f>
        <v>15331.468117134375</v>
      </c>
      <c r="BN86" s="671">
        <f>SUM('Schedule 3B_Income_Eastern:Schedule 3D_Income_The Cape'!BN86)</f>
        <v>164366.81998543048</v>
      </c>
      <c r="BO86" s="671">
        <f>SUM('Schedule 3B_Income_Eastern:Schedule 3D_Income_The Cape'!BO86)</f>
        <v>15616.764092316647</v>
      </c>
      <c r="BP86" s="671">
        <f>SUM('Schedule 3B_Income_Eastern:Schedule 3D_Income_The Cape'!BP86)</f>
        <v>171966.84697704398</v>
      </c>
      <c r="BQ86" s="671">
        <f>SUM('Schedule 3B_Income_Eastern:Schedule 3D_Income_The Cape'!BQ86)</f>
        <v>18224.655839724506</v>
      </c>
      <c r="BR86" s="671">
        <f>SUM('Schedule 3B_Income_Eastern:Schedule 3D_Income_The Cape'!BR86)</f>
        <v>173665.83134225319</v>
      </c>
      <c r="BS86" s="672">
        <f t="shared" si="217"/>
        <v>866598.84772889758</v>
      </c>
      <c r="BT86" s="673">
        <f>SUM('Schedule 3B_Income_Eastern:Schedule 3D_Income_The Cape'!BT86)</f>
        <v>0</v>
      </c>
      <c r="BU86" s="671">
        <f>SUM('Schedule 3B_Income_Eastern:Schedule 3D_Income_The Cape'!BU86)</f>
        <v>97335.815436311415</v>
      </c>
      <c r="BV86" s="671">
        <f>SUM('Schedule 3B_Income_Eastern:Schedule 3D_Income_The Cape'!BV86)</f>
        <v>0</v>
      </c>
      <c r="BW86" s="671">
        <f>SUM('Schedule 3B_Income_Eastern:Schedule 3D_Income_The Cape'!BW86)</f>
        <v>49572.132851300965</v>
      </c>
      <c r="BX86" s="671">
        <f>SUM('Schedule 3B_Income_Eastern:Schedule 3D_Income_The Cape'!BX86)</f>
        <v>0</v>
      </c>
      <c r="BY86" s="671">
        <f>SUM('Schedule 3B_Income_Eastern:Schedule 3D_Income_The Cape'!BY86)</f>
        <v>55455.745046365482</v>
      </c>
      <c r="BZ86" s="671">
        <f>SUM('Schedule 3B_Income_Eastern:Schedule 3D_Income_The Cape'!BZ86)</f>
        <v>0</v>
      </c>
      <c r="CA86" s="671">
        <f>SUM('Schedule 3B_Income_Eastern:Schedule 3D_Income_The Cape'!CA86)</f>
        <v>63693.48461079417</v>
      </c>
      <c r="CB86" s="674">
        <f t="shared" si="218"/>
        <v>266057.17794477206</v>
      </c>
      <c r="CC86" s="675">
        <f t="shared" si="219"/>
        <v>1132656.0256736698</v>
      </c>
      <c r="CD86" s="343">
        <v>58</v>
      </c>
      <c r="CE86" s="462">
        <f t="shared" si="220"/>
        <v>4353708.6530252192</v>
      </c>
      <c r="CF86" s="462">
        <f t="shared" si="221"/>
        <v>2714526.7834403017</v>
      </c>
      <c r="CG86" s="462">
        <f t="shared" si="222"/>
        <v>3056624.7559399181</v>
      </c>
      <c r="CH86" s="462">
        <f t="shared" si="223"/>
        <v>3132191.4990244824</v>
      </c>
      <c r="CI86" s="464">
        <f t="shared" si="224"/>
        <v>13257051.691429922</v>
      </c>
      <c r="CJ86" s="462">
        <f t="shared" si="225"/>
        <v>3003687.577680523</v>
      </c>
      <c r="CK86" s="462">
        <f t="shared" si="226"/>
        <v>1455738.4918147195</v>
      </c>
      <c r="CL86" s="462">
        <f t="shared" si="227"/>
        <v>1763351.2255449421</v>
      </c>
      <c r="CM86" s="462">
        <f t="shared" si="228"/>
        <v>1730596.6700776208</v>
      </c>
      <c r="CN86" s="464">
        <f t="shared" si="229"/>
        <v>7953373.9651178056</v>
      </c>
      <c r="CO86" s="462">
        <f t="shared" si="230"/>
        <v>7357396.2307057418</v>
      </c>
      <c r="CP86" s="462">
        <f t="shared" si="231"/>
        <v>4170265.2752550212</v>
      </c>
      <c r="CQ86" s="462">
        <f t="shared" si="232"/>
        <v>4819975.9814848593</v>
      </c>
      <c r="CR86" s="462">
        <f t="shared" si="233"/>
        <v>4862788.1691021025</v>
      </c>
      <c r="CS86" s="464">
        <f t="shared" si="234"/>
        <v>21210425.656547729</v>
      </c>
    </row>
    <row r="87" spans="1:99" ht="15.75" customHeight="1" x14ac:dyDescent="0.25">
      <c r="A87" s="149"/>
      <c r="B87" s="343"/>
      <c r="C87" s="207" t="s">
        <v>32</v>
      </c>
      <c r="D87" s="207" t="s">
        <v>32</v>
      </c>
      <c r="E87" s="207" t="s">
        <v>32</v>
      </c>
      <c r="F87" s="207" t="s">
        <v>32</v>
      </c>
      <c r="G87" s="207" t="s">
        <v>32</v>
      </c>
      <c r="H87" s="207" t="s">
        <v>32</v>
      </c>
      <c r="I87" s="207" t="s">
        <v>32</v>
      </c>
      <c r="J87" s="207" t="s">
        <v>32</v>
      </c>
      <c r="K87" s="426"/>
      <c r="L87" s="427" t="s">
        <v>32</v>
      </c>
      <c r="M87" s="207" t="s">
        <v>32</v>
      </c>
      <c r="N87" s="207" t="s">
        <v>32</v>
      </c>
      <c r="O87" s="207" t="s">
        <v>32</v>
      </c>
      <c r="P87" s="207" t="s">
        <v>32</v>
      </c>
      <c r="Q87" s="207" t="s">
        <v>32</v>
      </c>
      <c r="R87" s="207" t="s">
        <v>32</v>
      </c>
      <c r="S87" s="207" t="s">
        <v>32</v>
      </c>
      <c r="T87" s="428"/>
      <c r="U87" s="427" t="s">
        <v>32</v>
      </c>
      <c r="V87" s="343"/>
      <c r="W87" s="207" t="s">
        <v>32</v>
      </c>
      <c r="X87" s="207" t="s">
        <v>32</v>
      </c>
      <c r="Y87" s="207" t="s">
        <v>32</v>
      </c>
      <c r="Z87" s="207" t="s">
        <v>32</v>
      </c>
      <c r="AA87" s="207" t="s">
        <v>32</v>
      </c>
      <c r="AB87" s="207" t="s">
        <v>32</v>
      </c>
      <c r="AC87" s="207" t="s">
        <v>32</v>
      </c>
      <c r="AD87" s="207" t="s">
        <v>32</v>
      </c>
      <c r="AE87" s="426"/>
      <c r="AF87" s="427" t="s">
        <v>32</v>
      </c>
      <c r="AG87" s="207" t="s">
        <v>32</v>
      </c>
      <c r="AH87" s="207" t="s">
        <v>32</v>
      </c>
      <c r="AI87" s="207" t="s">
        <v>32</v>
      </c>
      <c r="AJ87" s="207" t="s">
        <v>32</v>
      </c>
      <c r="AK87" s="207" t="s">
        <v>32</v>
      </c>
      <c r="AL87" s="207" t="s">
        <v>32</v>
      </c>
      <c r="AM87" s="207" t="s">
        <v>32</v>
      </c>
      <c r="AN87" s="428"/>
      <c r="AO87" s="427" t="s">
        <v>32</v>
      </c>
      <c r="AP87" s="343"/>
      <c r="AQ87" s="207" t="s">
        <v>32</v>
      </c>
      <c r="AR87" s="207" t="s">
        <v>32</v>
      </c>
      <c r="AS87" s="207" t="s">
        <v>32</v>
      </c>
      <c r="AT87" s="207" t="s">
        <v>32</v>
      </c>
      <c r="AU87" s="207" t="s">
        <v>32</v>
      </c>
      <c r="AV87" s="207" t="s">
        <v>32</v>
      </c>
      <c r="AW87" s="207" t="s">
        <v>32</v>
      </c>
      <c r="AX87" s="207" t="s">
        <v>32</v>
      </c>
      <c r="AY87" s="426"/>
      <c r="AZ87" s="427" t="s">
        <v>32</v>
      </c>
      <c r="BA87" s="207" t="s">
        <v>32</v>
      </c>
      <c r="BB87" s="207" t="s">
        <v>32</v>
      </c>
      <c r="BC87" s="207" t="s">
        <v>32</v>
      </c>
      <c r="BD87" s="207" t="s">
        <v>32</v>
      </c>
      <c r="BE87" s="207" t="s">
        <v>32</v>
      </c>
      <c r="BF87" s="207" t="s">
        <v>32</v>
      </c>
      <c r="BG87" s="207" t="s">
        <v>32</v>
      </c>
      <c r="BH87" s="428"/>
      <c r="BI87" s="427" t="s">
        <v>32</v>
      </c>
      <c r="BJ87" s="343"/>
      <c r="BK87" s="207" t="s">
        <v>32</v>
      </c>
      <c r="BL87" s="207" t="s">
        <v>32</v>
      </c>
      <c r="BM87" s="207" t="s">
        <v>32</v>
      </c>
      <c r="BN87" s="207" t="s">
        <v>32</v>
      </c>
      <c r="BO87" s="207" t="s">
        <v>32</v>
      </c>
      <c r="BP87" s="207" t="s">
        <v>32</v>
      </c>
      <c r="BQ87" s="207" t="s">
        <v>32</v>
      </c>
      <c r="BR87" s="207" t="s">
        <v>32</v>
      </c>
      <c r="BS87" s="426"/>
      <c r="BT87" s="427" t="s">
        <v>32</v>
      </c>
      <c r="BU87" s="207" t="s">
        <v>32</v>
      </c>
      <c r="BV87" s="207" t="s">
        <v>32</v>
      </c>
      <c r="BW87" s="207" t="s">
        <v>32</v>
      </c>
      <c r="BX87" s="207" t="s">
        <v>32</v>
      </c>
      <c r="BY87" s="207" t="s">
        <v>32</v>
      </c>
      <c r="BZ87" s="207" t="s">
        <v>32</v>
      </c>
      <c r="CA87" s="207" t="s">
        <v>32</v>
      </c>
      <c r="CB87" s="428"/>
      <c r="CC87" s="427" t="s">
        <v>32</v>
      </c>
      <c r="CD87" s="343"/>
      <c r="CE87" s="428" t="s">
        <v>32</v>
      </c>
      <c r="CF87" s="428"/>
      <c r="CG87" s="428"/>
      <c r="CH87" s="428"/>
      <c r="CI87" s="207"/>
      <c r="CJ87" s="428" t="s">
        <v>32</v>
      </c>
      <c r="CK87" s="428"/>
      <c r="CL87" s="428"/>
      <c r="CM87" s="428"/>
      <c r="CN87" s="207"/>
      <c r="CO87" s="428" t="s">
        <v>32</v>
      </c>
      <c r="CP87" s="428"/>
      <c r="CQ87" s="428"/>
      <c r="CR87" s="428"/>
      <c r="CS87" s="207"/>
    </row>
    <row r="88" spans="1:99" s="361" customFormat="1" ht="15.75" customHeight="1" x14ac:dyDescent="0.25">
      <c r="A88" s="19" t="s">
        <v>423</v>
      </c>
      <c r="B88" s="343">
        <v>59</v>
      </c>
      <c r="C88" s="236">
        <f t="shared" ref="C88:U88" si="247">SUM(C76:C86)</f>
        <v>116178.69940089462</v>
      </c>
      <c r="D88" s="236">
        <f t="shared" si="247"/>
        <v>244309.36496509073</v>
      </c>
      <c r="E88" s="236">
        <f t="shared" si="247"/>
        <v>134485.4764541192</v>
      </c>
      <c r="F88" s="236">
        <f t="shared" si="247"/>
        <v>284749.25421795883</v>
      </c>
      <c r="G88" s="236">
        <f t="shared" si="247"/>
        <v>136951.68601116212</v>
      </c>
      <c r="H88" s="236">
        <f t="shared" si="247"/>
        <v>293608.31252458942</v>
      </c>
      <c r="I88" s="236">
        <f t="shared" si="247"/>
        <v>145556.5282093937</v>
      </c>
      <c r="J88" s="236">
        <f t="shared" si="247"/>
        <v>304590.77964227437</v>
      </c>
      <c r="K88" s="241">
        <f t="shared" si="247"/>
        <v>1660430.1014254829</v>
      </c>
      <c r="L88" s="238">
        <f t="shared" si="247"/>
        <v>0</v>
      </c>
      <c r="M88" s="236">
        <f t="shared" si="247"/>
        <v>589823.96575554367</v>
      </c>
      <c r="N88" s="236">
        <f t="shared" si="247"/>
        <v>0</v>
      </c>
      <c r="O88" s="236">
        <f t="shared" si="247"/>
        <v>596671.97957724717</v>
      </c>
      <c r="P88" s="236">
        <f t="shared" si="247"/>
        <v>0</v>
      </c>
      <c r="Q88" s="236">
        <f t="shared" si="247"/>
        <v>637165.79471417505</v>
      </c>
      <c r="R88" s="236">
        <f t="shared" si="247"/>
        <v>0</v>
      </c>
      <c r="S88" s="236">
        <f t="shared" si="247"/>
        <v>653967.42085635988</v>
      </c>
      <c r="T88" s="239">
        <f t="shared" si="247"/>
        <v>2477629.1609033258</v>
      </c>
      <c r="U88" s="238">
        <f t="shared" si="247"/>
        <v>4138059.2623288087</v>
      </c>
      <c r="V88" s="343">
        <v>59</v>
      </c>
      <c r="W88" s="236">
        <f t="shared" ref="W88:AO88" si="248">SUM(W76:W86)</f>
        <v>18985.828523021934</v>
      </c>
      <c r="X88" s="236">
        <f t="shared" si="248"/>
        <v>126153.13270838221</v>
      </c>
      <c r="Y88" s="236">
        <f t="shared" si="248"/>
        <v>21250.91229107754</v>
      </c>
      <c r="Z88" s="236">
        <f t="shared" si="248"/>
        <v>136021.70350627971</v>
      </c>
      <c r="AA88" s="236">
        <f t="shared" si="248"/>
        <v>20501.11547459436</v>
      </c>
      <c r="AB88" s="236">
        <f t="shared" si="248"/>
        <v>134891.71453061531</v>
      </c>
      <c r="AC88" s="236">
        <f t="shared" si="248"/>
        <v>23489.265467086345</v>
      </c>
      <c r="AD88" s="236">
        <f t="shared" si="248"/>
        <v>142969.59394859354</v>
      </c>
      <c r="AE88" s="241">
        <f t="shared" si="248"/>
        <v>624263.26644965098</v>
      </c>
      <c r="AF88" s="238">
        <f t="shared" si="248"/>
        <v>0</v>
      </c>
      <c r="AG88" s="236">
        <f t="shared" si="248"/>
        <v>198103.34357468341</v>
      </c>
      <c r="AH88" s="236">
        <f t="shared" si="248"/>
        <v>0</v>
      </c>
      <c r="AI88" s="236">
        <f t="shared" si="248"/>
        <v>180703.69541161065</v>
      </c>
      <c r="AJ88" s="236">
        <f t="shared" si="248"/>
        <v>0</v>
      </c>
      <c r="AK88" s="236">
        <f t="shared" si="248"/>
        <v>188531.14096840832</v>
      </c>
      <c r="AL88" s="236">
        <f t="shared" si="248"/>
        <v>0</v>
      </c>
      <c r="AM88" s="236">
        <f t="shared" si="248"/>
        <v>195216.03266889128</v>
      </c>
      <c r="AN88" s="239">
        <f t="shared" si="248"/>
        <v>762554.21262359363</v>
      </c>
      <c r="AO88" s="238">
        <f t="shared" si="248"/>
        <v>1386817.4790732446</v>
      </c>
      <c r="AP88" s="343">
        <v>59</v>
      </c>
      <c r="AQ88" s="236">
        <f t="shared" ref="AQ88:BI88" si="249">SUM(AQ76:AQ86)</f>
        <v>2077377.9166355347</v>
      </c>
      <c r="AR88" s="236">
        <f t="shared" si="249"/>
        <v>4912214.9787943438</v>
      </c>
      <c r="AS88" s="236">
        <f t="shared" si="249"/>
        <v>2507132.7587981946</v>
      </c>
      <c r="AT88" s="236">
        <f t="shared" si="249"/>
        <v>5828832.8148439061</v>
      </c>
      <c r="AU88" s="236">
        <f t="shared" si="249"/>
        <v>2605259.4417192992</v>
      </c>
      <c r="AV88" s="236">
        <f t="shared" si="249"/>
        <v>6073214.0202367222</v>
      </c>
      <c r="AW88" s="236">
        <f t="shared" si="249"/>
        <v>2879307.9356814399</v>
      </c>
      <c r="AX88" s="236">
        <f t="shared" si="249"/>
        <v>6482146.8591732606</v>
      </c>
      <c r="AY88" s="241">
        <f t="shared" si="249"/>
        <v>33365486.725882702</v>
      </c>
      <c r="AZ88" s="238">
        <f t="shared" si="249"/>
        <v>0</v>
      </c>
      <c r="BA88" s="236">
        <f t="shared" si="249"/>
        <v>4595717.3783383062</v>
      </c>
      <c r="BB88" s="236">
        <f t="shared" si="249"/>
        <v>0</v>
      </c>
      <c r="BC88" s="236">
        <f t="shared" si="249"/>
        <v>4166714.0803866838</v>
      </c>
      <c r="BD88" s="236">
        <f t="shared" si="249"/>
        <v>0</v>
      </c>
      <c r="BE88" s="236">
        <f t="shared" si="249"/>
        <v>4689271.652077374</v>
      </c>
      <c r="BF88" s="236">
        <f t="shared" si="249"/>
        <v>0</v>
      </c>
      <c r="BG88" s="236">
        <f t="shared" si="249"/>
        <v>4807537.2480470343</v>
      </c>
      <c r="BH88" s="239">
        <f t="shared" si="249"/>
        <v>18259240.358849399</v>
      </c>
      <c r="BI88" s="238">
        <f t="shared" si="249"/>
        <v>51624727.0847321</v>
      </c>
      <c r="BJ88" s="343">
        <v>59</v>
      </c>
      <c r="BK88" s="236">
        <f t="shared" ref="BK88:CC88" si="250">SUM(BK76:BK86)</f>
        <v>46485.441340025238</v>
      </c>
      <c r="BL88" s="236">
        <f t="shared" si="250"/>
        <v>522982.73423697962</v>
      </c>
      <c r="BM88" s="236">
        <f t="shared" si="250"/>
        <v>53905.53825272018</v>
      </c>
      <c r="BN88" s="236">
        <f t="shared" si="250"/>
        <v>577914.77205632941</v>
      </c>
      <c r="BO88" s="236">
        <f t="shared" si="250"/>
        <v>50428.123029192444</v>
      </c>
      <c r="BP88" s="236">
        <f t="shared" si="250"/>
        <v>555298.47701081925</v>
      </c>
      <c r="BQ88" s="236">
        <f t="shared" si="250"/>
        <v>61846.296093512079</v>
      </c>
      <c r="BR88" s="236">
        <f t="shared" si="250"/>
        <v>589343.82744872081</v>
      </c>
      <c r="BS88" s="241">
        <f t="shared" si="250"/>
        <v>2458205.2094682991</v>
      </c>
      <c r="BT88" s="238">
        <f t="shared" si="250"/>
        <v>0</v>
      </c>
      <c r="BU88" s="236">
        <f t="shared" si="250"/>
        <v>180302.14115890313</v>
      </c>
      <c r="BV88" s="236">
        <f t="shared" si="250"/>
        <v>0</v>
      </c>
      <c r="BW88" s="236">
        <f t="shared" si="250"/>
        <v>174295.93064856448</v>
      </c>
      <c r="BX88" s="236">
        <f t="shared" si="250"/>
        <v>0</v>
      </c>
      <c r="BY88" s="236">
        <f t="shared" si="250"/>
        <v>179072.25321086351</v>
      </c>
      <c r="BZ88" s="236">
        <f t="shared" si="250"/>
        <v>0</v>
      </c>
      <c r="CA88" s="236">
        <f t="shared" si="250"/>
        <v>216147.07806335611</v>
      </c>
      <c r="CB88" s="239">
        <f t="shared" si="250"/>
        <v>749817.40308168728</v>
      </c>
      <c r="CC88" s="238">
        <f t="shared" si="250"/>
        <v>3208022.6125499867</v>
      </c>
      <c r="CD88" s="343">
        <v>59</v>
      </c>
      <c r="CE88" s="239">
        <f t="shared" ref="CE88:CH88" si="251">SUM(CE76:CE86)</f>
        <v>8064688.0966042737</v>
      </c>
      <c r="CF88" s="239">
        <f t="shared" si="251"/>
        <v>9544293.2304205839</v>
      </c>
      <c r="CG88" s="239">
        <f t="shared" si="251"/>
        <v>9870152.8905369937</v>
      </c>
      <c r="CH88" s="239">
        <f t="shared" si="251"/>
        <v>10629251.085664282</v>
      </c>
      <c r="CI88" s="236">
        <f>SUM(CI76:CI86)</f>
        <v>38108385.303226136</v>
      </c>
      <c r="CJ88" s="239">
        <f t="shared" ref="CJ88:CM88" si="252">SUM(CJ76:CJ86)</f>
        <v>5563946.828827437</v>
      </c>
      <c r="CK88" s="239">
        <f t="shared" si="252"/>
        <v>5118385.6860241061</v>
      </c>
      <c r="CL88" s="239">
        <f t="shared" si="252"/>
        <v>5694040.8409708217</v>
      </c>
      <c r="CM88" s="239">
        <f t="shared" si="252"/>
        <v>5872867.7796356417</v>
      </c>
      <c r="CN88" s="236">
        <f>SUM(CN76:CN86)</f>
        <v>22249241.135458007</v>
      </c>
      <c r="CO88" s="239">
        <f t="shared" ref="CO88:CR88" si="253">SUM(CO76:CO86)</f>
        <v>13628634.92543171</v>
      </c>
      <c r="CP88" s="239">
        <f t="shared" si="253"/>
        <v>14662678.916444693</v>
      </c>
      <c r="CQ88" s="239">
        <f t="shared" si="253"/>
        <v>15564193.731507812</v>
      </c>
      <c r="CR88" s="239">
        <f t="shared" si="253"/>
        <v>16502118.865299921</v>
      </c>
      <c r="CS88" s="236">
        <f>SUM(CS76:CS86)</f>
        <v>60357626.438684136</v>
      </c>
    </row>
    <row r="89" spans="1:99" ht="15.75" customHeight="1" x14ac:dyDescent="0.25">
      <c r="A89" s="149"/>
      <c r="B89" s="343"/>
      <c r="C89" s="207" t="s">
        <v>32</v>
      </c>
      <c r="D89" s="207" t="s">
        <v>32</v>
      </c>
      <c r="E89" s="207" t="s">
        <v>32</v>
      </c>
      <c r="F89" s="207" t="s">
        <v>32</v>
      </c>
      <c r="G89" s="207" t="s">
        <v>32</v>
      </c>
      <c r="H89" s="207" t="s">
        <v>32</v>
      </c>
      <c r="I89" s="207" t="s">
        <v>32</v>
      </c>
      <c r="J89" s="207" t="s">
        <v>32</v>
      </c>
      <c r="K89" s="426"/>
      <c r="L89" s="427" t="s">
        <v>32</v>
      </c>
      <c r="M89" s="207" t="s">
        <v>32</v>
      </c>
      <c r="N89" s="207" t="s">
        <v>32</v>
      </c>
      <c r="O89" s="207" t="s">
        <v>32</v>
      </c>
      <c r="P89" s="207" t="s">
        <v>32</v>
      </c>
      <c r="Q89" s="207" t="s">
        <v>32</v>
      </c>
      <c r="R89" s="207" t="s">
        <v>32</v>
      </c>
      <c r="S89" s="207" t="s">
        <v>32</v>
      </c>
      <c r="T89" s="428"/>
      <c r="U89" s="427" t="s">
        <v>32</v>
      </c>
      <c r="V89" s="343"/>
      <c r="W89" s="207" t="s">
        <v>32</v>
      </c>
      <c r="X89" s="207" t="s">
        <v>32</v>
      </c>
      <c r="Y89" s="207" t="s">
        <v>32</v>
      </c>
      <c r="Z89" s="207" t="s">
        <v>32</v>
      </c>
      <c r="AA89" s="207" t="s">
        <v>32</v>
      </c>
      <c r="AB89" s="207" t="s">
        <v>32</v>
      </c>
      <c r="AC89" s="207" t="s">
        <v>32</v>
      </c>
      <c r="AD89" s="207" t="s">
        <v>32</v>
      </c>
      <c r="AE89" s="426"/>
      <c r="AF89" s="427" t="s">
        <v>32</v>
      </c>
      <c r="AG89" s="207" t="s">
        <v>32</v>
      </c>
      <c r="AH89" s="207" t="s">
        <v>32</v>
      </c>
      <c r="AI89" s="207" t="s">
        <v>32</v>
      </c>
      <c r="AJ89" s="207" t="s">
        <v>32</v>
      </c>
      <c r="AK89" s="207" t="s">
        <v>32</v>
      </c>
      <c r="AL89" s="207" t="s">
        <v>32</v>
      </c>
      <c r="AM89" s="207" t="s">
        <v>32</v>
      </c>
      <c r="AN89" s="428"/>
      <c r="AO89" s="427" t="s">
        <v>32</v>
      </c>
      <c r="AP89" s="343"/>
      <c r="AQ89" s="207" t="s">
        <v>32</v>
      </c>
      <c r="AR89" s="207" t="s">
        <v>32</v>
      </c>
      <c r="AS89" s="207" t="s">
        <v>32</v>
      </c>
      <c r="AT89" s="207" t="s">
        <v>32</v>
      </c>
      <c r="AU89" s="207" t="s">
        <v>32</v>
      </c>
      <c r="AV89" s="207" t="s">
        <v>32</v>
      </c>
      <c r="AW89" s="207" t="s">
        <v>32</v>
      </c>
      <c r="AX89" s="207" t="s">
        <v>32</v>
      </c>
      <c r="AY89" s="426"/>
      <c r="AZ89" s="427" t="s">
        <v>32</v>
      </c>
      <c r="BA89" s="207" t="s">
        <v>32</v>
      </c>
      <c r="BB89" s="207" t="s">
        <v>32</v>
      </c>
      <c r="BC89" s="207" t="s">
        <v>32</v>
      </c>
      <c r="BD89" s="207" t="s">
        <v>32</v>
      </c>
      <c r="BE89" s="207" t="s">
        <v>32</v>
      </c>
      <c r="BF89" s="207" t="s">
        <v>32</v>
      </c>
      <c r="BG89" s="207" t="s">
        <v>32</v>
      </c>
      <c r="BH89" s="428"/>
      <c r="BI89" s="427" t="s">
        <v>32</v>
      </c>
      <c r="BJ89" s="343"/>
      <c r="BK89" s="207" t="s">
        <v>32</v>
      </c>
      <c r="BL89" s="207" t="s">
        <v>32</v>
      </c>
      <c r="BM89" s="207" t="s">
        <v>32</v>
      </c>
      <c r="BN89" s="207" t="s">
        <v>32</v>
      </c>
      <c r="BO89" s="207" t="s">
        <v>32</v>
      </c>
      <c r="BP89" s="207" t="s">
        <v>32</v>
      </c>
      <c r="BQ89" s="207" t="s">
        <v>32</v>
      </c>
      <c r="BR89" s="207" t="s">
        <v>32</v>
      </c>
      <c r="BS89" s="426"/>
      <c r="BT89" s="427" t="s">
        <v>32</v>
      </c>
      <c r="BU89" s="207" t="s">
        <v>32</v>
      </c>
      <c r="BV89" s="207" t="s">
        <v>32</v>
      </c>
      <c r="BW89" s="207" t="s">
        <v>32</v>
      </c>
      <c r="BX89" s="207" t="s">
        <v>32</v>
      </c>
      <c r="BY89" s="207" t="s">
        <v>32</v>
      </c>
      <c r="BZ89" s="207" t="s">
        <v>32</v>
      </c>
      <c r="CA89" s="207" t="s">
        <v>32</v>
      </c>
      <c r="CB89" s="428"/>
      <c r="CC89" s="427" t="s">
        <v>32</v>
      </c>
      <c r="CD89" s="343"/>
      <c r="CE89" s="428" t="s">
        <v>32</v>
      </c>
      <c r="CF89" s="428"/>
      <c r="CG89" s="428"/>
      <c r="CH89" s="428"/>
      <c r="CI89" s="207"/>
      <c r="CJ89" s="428" t="s">
        <v>32</v>
      </c>
      <c r="CK89" s="428"/>
      <c r="CL89" s="428"/>
      <c r="CM89" s="428"/>
      <c r="CN89" s="207"/>
      <c r="CO89" s="428" t="s">
        <v>32</v>
      </c>
      <c r="CP89" s="428"/>
      <c r="CQ89" s="428"/>
      <c r="CR89" s="428"/>
      <c r="CS89" s="207"/>
    </row>
    <row r="90" spans="1:99" s="361" customFormat="1" ht="15.75" customHeight="1" x14ac:dyDescent="0.25">
      <c r="A90" s="19" t="s">
        <v>46</v>
      </c>
      <c r="B90" s="343">
        <v>60</v>
      </c>
      <c r="C90" s="236">
        <f t="shared" ref="C90:U90" si="254">C88+C66+C73-C70</f>
        <v>1674717.8296136453</v>
      </c>
      <c r="D90" s="236">
        <f t="shared" si="254"/>
        <v>4379128.4776141979</v>
      </c>
      <c r="E90" s="236">
        <f t="shared" si="254"/>
        <v>4503800.0779221449</v>
      </c>
      <c r="F90" s="236">
        <f t="shared" si="254"/>
        <v>10254421.894739833</v>
      </c>
      <c r="G90" s="236">
        <f t="shared" si="254"/>
        <v>4526148.69825566</v>
      </c>
      <c r="H90" s="236">
        <f t="shared" si="254"/>
        <v>9473837.8705805987</v>
      </c>
      <c r="I90" s="236">
        <f t="shared" si="254"/>
        <v>4043464.2168140323</v>
      </c>
      <c r="J90" s="236">
        <f t="shared" si="254"/>
        <v>7886065.1065804018</v>
      </c>
      <c r="K90" s="241">
        <f t="shared" si="254"/>
        <v>46741584.172120512</v>
      </c>
      <c r="L90" s="238">
        <f t="shared" si="254"/>
        <v>0</v>
      </c>
      <c r="M90" s="236">
        <f t="shared" si="254"/>
        <v>6261287.9231215417</v>
      </c>
      <c r="N90" s="236">
        <f t="shared" si="254"/>
        <v>0</v>
      </c>
      <c r="O90" s="236">
        <f t="shared" si="254"/>
        <v>12969155.409781385</v>
      </c>
      <c r="P90" s="236">
        <f t="shared" si="254"/>
        <v>0</v>
      </c>
      <c r="Q90" s="236">
        <f t="shared" si="254"/>
        <v>12461513.597445827</v>
      </c>
      <c r="R90" s="236">
        <f t="shared" si="254"/>
        <v>0</v>
      </c>
      <c r="S90" s="236">
        <f t="shared" si="254"/>
        <v>11464933.98679257</v>
      </c>
      <c r="T90" s="239">
        <f t="shared" si="254"/>
        <v>43156890.917141348</v>
      </c>
      <c r="U90" s="238">
        <f t="shared" si="254"/>
        <v>89898475.089261815</v>
      </c>
      <c r="V90" s="343">
        <v>60</v>
      </c>
      <c r="W90" s="236">
        <f t="shared" ref="W90:AO90" si="255">W88+W66+W73-W70</f>
        <v>212407.67222128043</v>
      </c>
      <c r="X90" s="236">
        <f t="shared" si="255"/>
        <v>1051040.0510822791</v>
      </c>
      <c r="Y90" s="236">
        <f t="shared" si="255"/>
        <v>124122.07296624873</v>
      </c>
      <c r="Z90" s="236">
        <f t="shared" si="255"/>
        <v>924715.93056058453</v>
      </c>
      <c r="AA90" s="236">
        <f t="shared" si="255"/>
        <v>135991.10010575029</v>
      </c>
      <c r="AB90" s="236">
        <f t="shared" si="255"/>
        <v>862303.73072240129</v>
      </c>
      <c r="AC90" s="236">
        <f t="shared" si="255"/>
        <v>170990.46249224767</v>
      </c>
      <c r="AD90" s="236">
        <f t="shared" si="255"/>
        <v>906957.34536032623</v>
      </c>
      <c r="AE90" s="241">
        <f t="shared" si="255"/>
        <v>4388528.3655111175</v>
      </c>
      <c r="AF90" s="238">
        <f t="shared" si="255"/>
        <v>0</v>
      </c>
      <c r="AG90" s="236">
        <f t="shared" si="255"/>
        <v>2393392.1190333413</v>
      </c>
      <c r="AH90" s="236">
        <f t="shared" si="255"/>
        <v>0</v>
      </c>
      <c r="AI90" s="236">
        <f t="shared" si="255"/>
        <v>1792560.3043507366</v>
      </c>
      <c r="AJ90" s="236">
        <f t="shared" si="255"/>
        <v>0</v>
      </c>
      <c r="AK90" s="236">
        <f t="shared" si="255"/>
        <v>1928150.9581459786</v>
      </c>
      <c r="AL90" s="236">
        <f t="shared" si="255"/>
        <v>0</v>
      </c>
      <c r="AM90" s="236">
        <f t="shared" si="255"/>
        <v>2204550.0189561746</v>
      </c>
      <c r="AN90" s="239">
        <f t="shared" si="255"/>
        <v>8318653.4004862327</v>
      </c>
      <c r="AO90" s="238">
        <f t="shared" si="255"/>
        <v>12707181.765997352</v>
      </c>
      <c r="AP90" s="343">
        <v>60</v>
      </c>
      <c r="AQ90" s="236">
        <f t="shared" ref="AQ90:BI90" si="256">AQ88+AQ66+AQ73-AQ70</f>
        <v>24749282.723856878</v>
      </c>
      <c r="AR90" s="236">
        <f t="shared" si="256"/>
        <v>56466620.335772321</v>
      </c>
      <c r="AS90" s="236">
        <f t="shared" si="256"/>
        <v>23009156.875386063</v>
      </c>
      <c r="AT90" s="236">
        <f t="shared" si="256"/>
        <v>55140394.462803684</v>
      </c>
      <c r="AU90" s="236">
        <f t="shared" si="256"/>
        <v>26028214.648487788</v>
      </c>
      <c r="AV90" s="236">
        <f t="shared" si="256"/>
        <v>59224810.267589562</v>
      </c>
      <c r="AW90" s="236">
        <f t="shared" si="256"/>
        <v>30070049.851149831</v>
      </c>
      <c r="AX90" s="236">
        <f t="shared" si="256"/>
        <v>62733348.858462647</v>
      </c>
      <c r="AY90" s="241">
        <f t="shared" si="256"/>
        <v>337421878.02350879</v>
      </c>
      <c r="AZ90" s="238">
        <f t="shared" si="256"/>
        <v>0</v>
      </c>
      <c r="BA90" s="236">
        <f t="shared" si="256"/>
        <v>47910668.96835123</v>
      </c>
      <c r="BB90" s="236">
        <f t="shared" si="256"/>
        <v>0</v>
      </c>
      <c r="BC90" s="236">
        <f t="shared" si="256"/>
        <v>45127537.592054412</v>
      </c>
      <c r="BD90" s="236">
        <f t="shared" si="256"/>
        <v>0</v>
      </c>
      <c r="BE90" s="236">
        <f t="shared" si="256"/>
        <v>49634417.736973234</v>
      </c>
      <c r="BF90" s="236">
        <f t="shared" si="256"/>
        <v>0</v>
      </c>
      <c r="BG90" s="236">
        <f t="shared" si="256"/>
        <v>52485910.357812554</v>
      </c>
      <c r="BH90" s="239">
        <f t="shared" si="256"/>
        <v>195158534.65519139</v>
      </c>
      <c r="BI90" s="238">
        <f t="shared" si="256"/>
        <v>532580412.67870027</v>
      </c>
      <c r="BJ90" s="343">
        <v>60</v>
      </c>
      <c r="BK90" s="236">
        <f t="shared" ref="BK90:CC90" si="257">BK88+BK66+BK73-BK70</f>
        <v>695500.1680971412</v>
      </c>
      <c r="BL90" s="236">
        <f t="shared" si="257"/>
        <v>6970336.7539422289</v>
      </c>
      <c r="BM90" s="236">
        <f t="shared" si="257"/>
        <v>568087.85154164571</v>
      </c>
      <c r="BN90" s="236">
        <f t="shared" si="257"/>
        <v>6042502.3177395351</v>
      </c>
      <c r="BO90" s="236">
        <f t="shared" si="257"/>
        <v>593186.93143917318</v>
      </c>
      <c r="BP90" s="236">
        <f t="shared" si="257"/>
        <v>6626736.35234534</v>
      </c>
      <c r="BQ90" s="236">
        <f t="shared" si="257"/>
        <v>848237.4869334714</v>
      </c>
      <c r="BR90" s="236">
        <f t="shared" si="257"/>
        <v>6857010.2828660188</v>
      </c>
      <c r="BS90" s="241">
        <f t="shared" si="257"/>
        <v>29201598.144904561</v>
      </c>
      <c r="BT90" s="238">
        <f t="shared" si="257"/>
        <v>0</v>
      </c>
      <c r="BU90" s="236">
        <f t="shared" si="257"/>
        <v>2491635.6838395535</v>
      </c>
      <c r="BV90" s="236">
        <f t="shared" si="257"/>
        <v>0</v>
      </c>
      <c r="BW90" s="236">
        <f t="shared" si="257"/>
        <v>2847581.3368393038</v>
      </c>
      <c r="BX90" s="236">
        <f t="shared" si="257"/>
        <v>0</v>
      </c>
      <c r="BY90" s="236">
        <f t="shared" si="257"/>
        <v>2472708.4663317916</v>
      </c>
      <c r="BZ90" s="236">
        <f t="shared" si="257"/>
        <v>0</v>
      </c>
      <c r="CA90" s="236">
        <f t="shared" si="257"/>
        <v>2971491.4430665611</v>
      </c>
      <c r="CB90" s="239">
        <f t="shared" si="257"/>
        <v>10783416.93007721</v>
      </c>
      <c r="CC90" s="238">
        <f t="shared" si="257"/>
        <v>39985015.074981764</v>
      </c>
      <c r="CD90" s="343">
        <v>60</v>
      </c>
      <c r="CE90" s="239">
        <f t="shared" ref="CE90:CS90" si="258">CE88+CE66+CE73-CE70</f>
        <v>96199034.012199953</v>
      </c>
      <c r="CF90" s="239">
        <f t="shared" si="258"/>
        <v>100567201.48365976</v>
      </c>
      <c r="CG90" s="239">
        <f t="shared" si="258"/>
        <v>107471229.5995263</v>
      </c>
      <c r="CH90" s="239">
        <f t="shared" si="258"/>
        <v>113516123.61065899</v>
      </c>
      <c r="CI90" s="236">
        <f t="shared" si="258"/>
        <v>417753588.70604497</v>
      </c>
      <c r="CJ90" s="239">
        <f t="shared" si="258"/>
        <v>59056984.694345683</v>
      </c>
      <c r="CK90" s="239">
        <f t="shared" si="258"/>
        <v>62736834.643025823</v>
      </c>
      <c r="CL90" s="239">
        <f t="shared" si="258"/>
        <v>66496790.75889682</v>
      </c>
      <c r="CM90" s="239">
        <f t="shared" si="258"/>
        <v>69126885.80662784</v>
      </c>
      <c r="CN90" s="236">
        <f t="shared" si="258"/>
        <v>22249241.135458007</v>
      </c>
      <c r="CO90" s="239">
        <f t="shared" si="258"/>
        <v>155256018.70654568</v>
      </c>
      <c r="CP90" s="239">
        <f t="shared" si="258"/>
        <v>163304036.12668562</v>
      </c>
      <c r="CQ90" s="239">
        <f t="shared" si="258"/>
        <v>173968020.35842314</v>
      </c>
      <c r="CR90" s="239">
        <f t="shared" si="258"/>
        <v>182643009.41728684</v>
      </c>
      <c r="CS90" s="236">
        <f t="shared" si="258"/>
        <v>675171084.6089412</v>
      </c>
    </row>
    <row r="91" spans="1:99" ht="15.75" customHeight="1" x14ac:dyDescent="0.25">
      <c r="A91" s="149"/>
      <c r="B91" s="343"/>
      <c r="C91" s="207" t="s">
        <v>32</v>
      </c>
      <c r="D91" s="207" t="s">
        <v>32</v>
      </c>
      <c r="E91" s="207" t="s">
        <v>32</v>
      </c>
      <c r="F91" s="207" t="s">
        <v>32</v>
      </c>
      <c r="G91" s="207" t="s">
        <v>32</v>
      </c>
      <c r="H91" s="207" t="s">
        <v>32</v>
      </c>
      <c r="I91" s="207" t="s">
        <v>32</v>
      </c>
      <c r="J91" s="207" t="s">
        <v>32</v>
      </c>
      <c r="K91" s="426"/>
      <c r="L91" s="427" t="s">
        <v>32</v>
      </c>
      <c r="M91" s="207" t="s">
        <v>32</v>
      </c>
      <c r="N91" s="207" t="s">
        <v>32</v>
      </c>
      <c r="O91" s="207" t="s">
        <v>32</v>
      </c>
      <c r="P91" s="207" t="s">
        <v>32</v>
      </c>
      <c r="Q91" s="207" t="s">
        <v>32</v>
      </c>
      <c r="R91" s="207" t="s">
        <v>32</v>
      </c>
      <c r="S91" s="207" t="s">
        <v>32</v>
      </c>
      <c r="T91" s="428"/>
      <c r="U91" s="427" t="s">
        <v>32</v>
      </c>
      <c r="V91" s="343"/>
      <c r="W91" s="207" t="s">
        <v>32</v>
      </c>
      <c r="X91" s="207" t="s">
        <v>32</v>
      </c>
      <c r="Y91" s="207" t="s">
        <v>32</v>
      </c>
      <c r="Z91" s="207" t="s">
        <v>32</v>
      </c>
      <c r="AA91" s="207" t="s">
        <v>32</v>
      </c>
      <c r="AB91" s="207" t="s">
        <v>32</v>
      </c>
      <c r="AC91" s="207" t="s">
        <v>32</v>
      </c>
      <c r="AD91" s="207" t="s">
        <v>32</v>
      </c>
      <c r="AE91" s="426"/>
      <c r="AF91" s="427" t="s">
        <v>32</v>
      </c>
      <c r="AG91" s="207" t="s">
        <v>32</v>
      </c>
      <c r="AH91" s="207" t="s">
        <v>32</v>
      </c>
      <c r="AI91" s="207" t="s">
        <v>32</v>
      </c>
      <c r="AJ91" s="207" t="s">
        <v>32</v>
      </c>
      <c r="AK91" s="207" t="s">
        <v>32</v>
      </c>
      <c r="AL91" s="207" t="s">
        <v>32</v>
      </c>
      <c r="AM91" s="207" t="s">
        <v>32</v>
      </c>
      <c r="AN91" s="428"/>
      <c r="AO91" s="427" t="s">
        <v>32</v>
      </c>
      <c r="AP91" s="343"/>
      <c r="AQ91" s="207" t="s">
        <v>32</v>
      </c>
      <c r="AR91" s="207" t="s">
        <v>32</v>
      </c>
      <c r="AS91" s="207" t="s">
        <v>32</v>
      </c>
      <c r="AT91" s="207" t="s">
        <v>32</v>
      </c>
      <c r="AU91" s="207" t="s">
        <v>32</v>
      </c>
      <c r="AV91" s="207" t="s">
        <v>32</v>
      </c>
      <c r="AW91" s="207" t="s">
        <v>32</v>
      </c>
      <c r="AX91" s="207" t="s">
        <v>32</v>
      </c>
      <c r="AY91" s="426"/>
      <c r="AZ91" s="427" t="s">
        <v>32</v>
      </c>
      <c r="BA91" s="207" t="s">
        <v>32</v>
      </c>
      <c r="BB91" s="207" t="s">
        <v>32</v>
      </c>
      <c r="BC91" s="207" t="s">
        <v>32</v>
      </c>
      <c r="BD91" s="207" t="s">
        <v>32</v>
      </c>
      <c r="BE91" s="207" t="s">
        <v>32</v>
      </c>
      <c r="BF91" s="207" t="s">
        <v>32</v>
      </c>
      <c r="BG91" s="207" t="s">
        <v>32</v>
      </c>
      <c r="BH91" s="428"/>
      <c r="BI91" s="427" t="s">
        <v>32</v>
      </c>
      <c r="BJ91" s="343"/>
      <c r="BK91" s="207" t="s">
        <v>32</v>
      </c>
      <c r="BL91" s="207" t="s">
        <v>32</v>
      </c>
      <c r="BM91" s="207" t="s">
        <v>32</v>
      </c>
      <c r="BN91" s="207" t="s">
        <v>32</v>
      </c>
      <c r="BO91" s="207" t="s">
        <v>32</v>
      </c>
      <c r="BP91" s="207" t="s">
        <v>32</v>
      </c>
      <c r="BQ91" s="207" t="s">
        <v>32</v>
      </c>
      <c r="BR91" s="207" t="s">
        <v>32</v>
      </c>
      <c r="BS91" s="426"/>
      <c r="BT91" s="427" t="s">
        <v>32</v>
      </c>
      <c r="BU91" s="207" t="s">
        <v>32</v>
      </c>
      <c r="BV91" s="207" t="s">
        <v>32</v>
      </c>
      <c r="BW91" s="207" t="s">
        <v>32</v>
      </c>
      <c r="BX91" s="207" t="s">
        <v>32</v>
      </c>
      <c r="BY91" s="207" t="s">
        <v>32</v>
      </c>
      <c r="BZ91" s="207" t="s">
        <v>32</v>
      </c>
      <c r="CA91" s="207" t="s">
        <v>32</v>
      </c>
      <c r="CB91" s="428"/>
      <c r="CC91" s="427" t="s">
        <v>32</v>
      </c>
      <c r="CD91" s="343"/>
      <c r="CE91" s="428" t="s">
        <v>32</v>
      </c>
      <c r="CF91" s="428"/>
      <c r="CG91" s="428"/>
      <c r="CH91" s="428"/>
      <c r="CI91" s="207"/>
      <c r="CJ91" s="428" t="s">
        <v>32</v>
      </c>
      <c r="CK91" s="428"/>
      <c r="CL91" s="428"/>
      <c r="CM91" s="428"/>
      <c r="CN91" s="207"/>
      <c r="CO91" s="428" t="s">
        <v>32</v>
      </c>
      <c r="CP91" s="428"/>
      <c r="CQ91" s="428"/>
      <c r="CR91" s="428"/>
      <c r="CS91" s="207"/>
    </row>
    <row r="92" spans="1:99" s="361" customFormat="1" ht="15.75" customHeight="1" x14ac:dyDescent="0.25">
      <c r="A92" s="19" t="s">
        <v>47</v>
      </c>
      <c r="B92" s="343">
        <v>61</v>
      </c>
      <c r="C92" s="236">
        <f t="shared" ref="C92:J92" si="259">C32-C90</f>
        <v>-367589.05961361527</v>
      </c>
      <c r="D92" s="236">
        <f t="shared" si="259"/>
        <v>-1630399.1376139568</v>
      </c>
      <c r="E92" s="236">
        <f t="shared" si="259"/>
        <v>-3162458.4479221152</v>
      </c>
      <c r="F92" s="236">
        <f t="shared" si="259"/>
        <v>-7414367.7947395714</v>
      </c>
      <c r="G92" s="236">
        <f t="shared" si="259"/>
        <v>-3140177.1182556199</v>
      </c>
      <c r="H92" s="236">
        <f t="shared" si="259"/>
        <v>-6502477.7605803171</v>
      </c>
      <c r="I92" s="236">
        <f t="shared" si="259"/>
        <v>-2601332.5968139921</v>
      </c>
      <c r="J92" s="236">
        <f t="shared" si="259"/>
        <v>-4868268.5165801179</v>
      </c>
      <c r="K92" s="241">
        <f>SUM(C92:J92)</f>
        <v>-29687070.432119302</v>
      </c>
      <c r="L92" s="238">
        <f t="shared" ref="L92:S92" si="260">L32-L90</f>
        <v>0</v>
      </c>
      <c r="M92" s="236">
        <f t="shared" si="260"/>
        <v>1404806.3854040317</v>
      </c>
      <c r="N92" s="236">
        <f t="shared" si="260"/>
        <v>0</v>
      </c>
      <c r="O92" s="236">
        <f t="shared" si="260"/>
        <v>-5898634.6822444471</v>
      </c>
      <c r="P92" s="236">
        <f t="shared" si="260"/>
        <v>0</v>
      </c>
      <c r="Q92" s="236">
        <f t="shared" si="260"/>
        <v>-4518289.888488682</v>
      </c>
      <c r="R92" s="236">
        <f t="shared" si="260"/>
        <v>0</v>
      </c>
      <c r="S92" s="236">
        <f t="shared" si="260"/>
        <v>-3351754.7411229238</v>
      </c>
      <c r="T92" s="239">
        <f>SUM(L92:S92)</f>
        <v>-12363872.926452022</v>
      </c>
      <c r="U92" s="238">
        <f>U32-U90</f>
        <v>-42050943.358571306</v>
      </c>
      <c r="V92" s="343">
        <v>61</v>
      </c>
      <c r="W92" s="236">
        <f t="shared" ref="W92:AD92" si="261">W32-W90</f>
        <v>1202.247778719553</v>
      </c>
      <c r="X92" s="236">
        <f t="shared" si="261"/>
        <v>368311.25891773985</v>
      </c>
      <c r="Y92" s="236">
        <f t="shared" si="261"/>
        <v>87831.917033751262</v>
      </c>
      <c r="Z92" s="236">
        <f t="shared" si="261"/>
        <v>431947.83943943365</v>
      </c>
      <c r="AA92" s="236">
        <f t="shared" si="261"/>
        <v>71483.259894249699</v>
      </c>
      <c r="AB92" s="236">
        <f t="shared" si="261"/>
        <v>502820.62927761767</v>
      </c>
      <c r="AC92" s="236">
        <f t="shared" si="261"/>
        <v>61734.327507752343</v>
      </c>
      <c r="AD92" s="236">
        <f t="shared" si="261"/>
        <v>509543.68463969382</v>
      </c>
      <c r="AE92" s="241">
        <f>SUM(W92:AD92)</f>
        <v>2034875.1644889577</v>
      </c>
      <c r="AF92" s="238">
        <f t="shared" ref="AF92:AM92" si="262">AF32-AF90</f>
        <v>0</v>
      </c>
      <c r="AG92" s="236">
        <f t="shared" si="262"/>
        <v>308226.70449058572</v>
      </c>
      <c r="AH92" s="236">
        <f t="shared" si="262"/>
        <v>0</v>
      </c>
      <c r="AI92" s="236">
        <f t="shared" si="262"/>
        <v>455970.57082123356</v>
      </c>
      <c r="AJ92" s="236">
        <f t="shared" si="262"/>
        <v>0</v>
      </c>
      <c r="AK92" s="236">
        <f t="shared" si="262"/>
        <v>507301.45236730878</v>
      </c>
      <c r="AL92" s="236">
        <f t="shared" si="262"/>
        <v>0</v>
      </c>
      <c r="AM92" s="236">
        <f t="shared" si="262"/>
        <v>272145.55766910594</v>
      </c>
      <c r="AN92" s="239">
        <f>SUM(AF92:AM92)</f>
        <v>1543644.285348234</v>
      </c>
      <c r="AO92" s="238">
        <f>AO32-AO90</f>
        <v>3578519.4498371892</v>
      </c>
      <c r="AP92" s="343">
        <v>61</v>
      </c>
      <c r="AQ92" s="236">
        <f t="shared" ref="AQ92:AX92" si="263">AQ32-AQ90</f>
        <v>-1376664.0338586867</v>
      </c>
      <c r="AR92" s="236">
        <f t="shared" si="263"/>
        <v>-1199195.6157661006</v>
      </c>
      <c r="AS92" s="236">
        <f t="shared" si="263"/>
        <v>1996677.4346119389</v>
      </c>
      <c r="AT92" s="236">
        <f t="shared" si="263"/>
        <v>2995668.3672054484</v>
      </c>
      <c r="AU92" s="236">
        <f t="shared" si="263"/>
        <v>337401.21151281148</v>
      </c>
      <c r="AV92" s="236">
        <f t="shared" si="263"/>
        <v>2237025.4824269786</v>
      </c>
      <c r="AW92" s="236">
        <f t="shared" si="263"/>
        <v>-1542706.7711486295</v>
      </c>
      <c r="AX92" s="236">
        <f t="shared" si="263"/>
        <v>1489871.2615567595</v>
      </c>
      <c r="AY92" s="241">
        <f>SUM(AQ92:AX92)</f>
        <v>4938077.3365405202</v>
      </c>
      <c r="AZ92" s="238">
        <f t="shared" ref="AZ92:BG92" si="264">AZ32-AZ90</f>
        <v>0</v>
      </c>
      <c r="BA92" s="236">
        <f t="shared" si="264"/>
        <v>12396550.481121995</v>
      </c>
      <c r="BB92" s="236">
        <f t="shared" si="264"/>
        <v>0</v>
      </c>
      <c r="BC92" s="236">
        <f t="shared" si="264"/>
        <v>5752889.7851118371</v>
      </c>
      <c r="BD92" s="236">
        <f t="shared" si="264"/>
        <v>0</v>
      </c>
      <c r="BE92" s="236">
        <f t="shared" si="264"/>
        <v>8513144.6278493479</v>
      </c>
      <c r="BF92" s="236">
        <f t="shared" si="264"/>
        <v>0</v>
      </c>
      <c r="BG92" s="236">
        <f t="shared" si="264"/>
        <v>6456844.6819109172</v>
      </c>
      <c r="BH92" s="239">
        <f>SUM(AZ92:BG92)</f>
        <v>33119429.575994097</v>
      </c>
      <c r="BI92" s="238">
        <f>BI32-BI90</f>
        <v>38057506.912534535</v>
      </c>
      <c r="BJ92" s="343">
        <v>61</v>
      </c>
      <c r="BK92" s="236">
        <f t="shared" ref="BK92:BR92" si="265">BK32-BK90</f>
        <v>-133444.48142641713</v>
      </c>
      <c r="BL92" s="236">
        <f t="shared" si="265"/>
        <v>-646950.09061279241</v>
      </c>
      <c r="BM92" s="236">
        <f t="shared" si="265"/>
        <v>9889.9601972921519</v>
      </c>
      <c r="BN92" s="236">
        <f t="shared" si="265"/>
        <v>153928.07052152511</v>
      </c>
      <c r="BO92" s="236">
        <f t="shared" si="265"/>
        <v>-43492.584194374969</v>
      </c>
      <c r="BP92" s="236">
        <f t="shared" si="265"/>
        <v>-573676.75959013682</v>
      </c>
      <c r="BQ92" s="236">
        <f t="shared" si="265"/>
        <v>-46705.981317771133</v>
      </c>
      <c r="BR92" s="236">
        <f t="shared" si="265"/>
        <v>780919.15151844267</v>
      </c>
      <c r="BS92" s="241">
        <f>SUM(BK92:BR92)</f>
        <v>-499532.71490423242</v>
      </c>
      <c r="BT92" s="238">
        <f t="shared" ref="BT92:CA92" si="266">BT32-BT90</f>
        <v>0</v>
      </c>
      <c r="BU92" s="236">
        <f t="shared" si="266"/>
        <v>-175492.71676002443</v>
      </c>
      <c r="BV92" s="236">
        <f t="shared" si="266"/>
        <v>0</v>
      </c>
      <c r="BW92" s="236">
        <f t="shared" si="266"/>
        <v>-790488.24339391873</v>
      </c>
      <c r="BX92" s="236">
        <f t="shared" si="266"/>
        <v>0</v>
      </c>
      <c r="BY92" s="236">
        <f t="shared" si="266"/>
        <v>-373823.83680959884</v>
      </c>
      <c r="BZ92" s="236">
        <f t="shared" si="266"/>
        <v>0</v>
      </c>
      <c r="CA92" s="236">
        <f t="shared" si="266"/>
        <v>-602152.00990276597</v>
      </c>
      <c r="CB92" s="239">
        <f>SUM(BT92:CA92)</f>
        <v>-1941956.806866308</v>
      </c>
      <c r="CC92" s="238">
        <f>CC32-CC90</f>
        <v>-2441489.5217705518</v>
      </c>
      <c r="CD92" s="343">
        <v>61</v>
      </c>
      <c r="CE92" s="239">
        <f t="shared" ref="CE92:CS92" si="267">CE32-CE90</f>
        <v>-4984728.9121950865</v>
      </c>
      <c r="CF92" s="239">
        <f t="shared" si="267"/>
        <v>-4900882.6536523104</v>
      </c>
      <c r="CG92" s="239">
        <f t="shared" si="267"/>
        <v>-7111093.6395088285</v>
      </c>
      <c r="CH92" s="239">
        <f t="shared" si="267"/>
        <v>-6216945.4406378865</v>
      </c>
      <c r="CI92" s="236">
        <f t="shared" si="267"/>
        <v>-23213650.645994127</v>
      </c>
      <c r="CJ92" s="239">
        <f t="shared" si="267"/>
        <v>13934090.854256585</v>
      </c>
      <c r="CK92" s="239">
        <f t="shared" si="267"/>
        <v>-480262.56970527768</v>
      </c>
      <c r="CL92" s="239">
        <f t="shared" si="267"/>
        <v>4128332.354918398</v>
      </c>
      <c r="CM92" s="239">
        <f t="shared" si="267"/>
        <v>2775083.4885543585</v>
      </c>
      <c r="CN92" s="236">
        <f t="shared" si="267"/>
        <v>-22249241.135458007</v>
      </c>
      <c r="CO92" s="239">
        <f t="shared" si="267"/>
        <v>8949361.9420613945</v>
      </c>
      <c r="CP92" s="239">
        <f t="shared" si="267"/>
        <v>-5381145.2233576179</v>
      </c>
      <c r="CQ92" s="239">
        <f t="shared" si="267"/>
        <v>-2982761.2845904529</v>
      </c>
      <c r="CR92" s="239">
        <f t="shared" si="267"/>
        <v>-3441861.952083528</v>
      </c>
      <c r="CS92" s="236">
        <f t="shared" si="267"/>
        <v>-2856406.5179702044</v>
      </c>
    </row>
    <row r="93" spans="1:99" ht="15.75" customHeight="1" x14ac:dyDescent="0.25">
      <c r="A93" s="149"/>
      <c r="B93" s="343"/>
      <c r="C93" s="349" t="s">
        <v>35</v>
      </c>
      <c r="D93" s="349" t="s">
        <v>35</v>
      </c>
      <c r="E93" s="349" t="s">
        <v>35</v>
      </c>
      <c r="F93" s="349" t="s">
        <v>35</v>
      </c>
      <c r="G93" s="349" t="s">
        <v>35</v>
      </c>
      <c r="H93" s="349" t="s">
        <v>35</v>
      </c>
      <c r="I93" s="349" t="s">
        <v>35</v>
      </c>
      <c r="J93" s="349" t="s">
        <v>35</v>
      </c>
      <c r="K93" s="432"/>
      <c r="L93" s="433" t="s">
        <v>35</v>
      </c>
      <c r="M93" s="349" t="s">
        <v>35</v>
      </c>
      <c r="N93" s="349" t="s">
        <v>35</v>
      </c>
      <c r="O93" s="349" t="s">
        <v>35</v>
      </c>
      <c r="P93" s="349" t="s">
        <v>35</v>
      </c>
      <c r="Q93" s="349" t="s">
        <v>35</v>
      </c>
      <c r="R93" s="349" t="s">
        <v>35</v>
      </c>
      <c r="S93" s="349" t="s">
        <v>35</v>
      </c>
      <c r="T93" s="434"/>
      <c r="U93" s="433" t="s">
        <v>35</v>
      </c>
      <c r="V93" s="343"/>
      <c r="W93" s="349" t="s">
        <v>35</v>
      </c>
      <c r="X93" s="349" t="s">
        <v>35</v>
      </c>
      <c r="Y93" s="349" t="s">
        <v>35</v>
      </c>
      <c r="Z93" s="349" t="s">
        <v>35</v>
      </c>
      <c r="AA93" s="349" t="s">
        <v>35</v>
      </c>
      <c r="AB93" s="349" t="s">
        <v>35</v>
      </c>
      <c r="AC93" s="349" t="s">
        <v>35</v>
      </c>
      <c r="AD93" s="349" t="s">
        <v>35</v>
      </c>
      <c r="AE93" s="432"/>
      <c r="AF93" s="433" t="s">
        <v>35</v>
      </c>
      <c r="AG93" s="349" t="s">
        <v>35</v>
      </c>
      <c r="AH93" s="349" t="s">
        <v>35</v>
      </c>
      <c r="AI93" s="349" t="s">
        <v>35</v>
      </c>
      <c r="AJ93" s="349" t="s">
        <v>35</v>
      </c>
      <c r="AK93" s="349" t="s">
        <v>35</v>
      </c>
      <c r="AL93" s="349" t="s">
        <v>35</v>
      </c>
      <c r="AM93" s="349" t="s">
        <v>35</v>
      </c>
      <c r="AN93" s="434"/>
      <c r="AO93" s="433" t="s">
        <v>35</v>
      </c>
      <c r="AP93" s="343"/>
      <c r="AQ93" s="349" t="s">
        <v>35</v>
      </c>
      <c r="AR93" s="349" t="s">
        <v>35</v>
      </c>
      <c r="AS93" s="349" t="s">
        <v>35</v>
      </c>
      <c r="AT93" s="349" t="s">
        <v>35</v>
      </c>
      <c r="AU93" s="349" t="s">
        <v>35</v>
      </c>
      <c r="AV93" s="349" t="s">
        <v>35</v>
      </c>
      <c r="AW93" s="349" t="s">
        <v>35</v>
      </c>
      <c r="AX93" s="349" t="s">
        <v>35</v>
      </c>
      <c r="AY93" s="432"/>
      <c r="AZ93" s="433" t="s">
        <v>35</v>
      </c>
      <c r="BA93" s="349" t="s">
        <v>35</v>
      </c>
      <c r="BB93" s="349" t="s">
        <v>35</v>
      </c>
      <c r="BC93" s="349" t="s">
        <v>35</v>
      </c>
      <c r="BD93" s="349" t="s">
        <v>35</v>
      </c>
      <c r="BE93" s="349" t="s">
        <v>35</v>
      </c>
      <c r="BF93" s="349" t="s">
        <v>35</v>
      </c>
      <c r="BG93" s="349" t="s">
        <v>35</v>
      </c>
      <c r="BH93" s="434"/>
      <c r="BI93" s="433" t="s">
        <v>35</v>
      </c>
      <c r="BJ93" s="343"/>
      <c r="BK93" s="349" t="s">
        <v>35</v>
      </c>
      <c r="BL93" s="349" t="s">
        <v>35</v>
      </c>
      <c r="BM93" s="349" t="s">
        <v>35</v>
      </c>
      <c r="BN93" s="349" t="s">
        <v>35</v>
      </c>
      <c r="BO93" s="349" t="s">
        <v>35</v>
      </c>
      <c r="BP93" s="349" t="s">
        <v>35</v>
      </c>
      <c r="BQ93" s="349" t="s">
        <v>35</v>
      </c>
      <c r="BR93" s="349" t="s">
        <v>35</v>
      </c>
      <c r="BS93" s="432"/>
      <c r="BT93" s="433" t="s">
        <v>35</v>
      </c>
      <c r="BU93" s="349" t="s">
        <v>35</v>
      </c>
      <c r="BV93" s="349" t="s">
        <v>35</v>
      </c>
      <c r="BW93" s="349" t="s">
        <v>35</v>
      </c>
      <c r="BX93" s="349" t="s">
        <v>35</v>
      </c>
      <c r="BY93" s="349" t="s">
        <v>35</v>
      </c>
      <c r="BZ93" s="349" t="s">
        <v>35</v>
      </c>
      <c r="CA93" s="349" t="s">
        <v>35</v>
      </c>
      <c r="CB93" s="434"/>
      <c r="CC93" s="433" t="s">
        <v>35</v>
      </c>
      <c r="CD93" s="343"/>
      <c r="CE93" s="434" t="s">
        <v>35</v>
      </c>
      <c r="CF93" s="434"/>
      <c r="CG93" s="434"/>
      <c r="CH93" s="434"/>
      <c r="CI93" s="349"/>
      <c r="CJ93" s="434" t="s">
        <v>35</v>
      </c>
      <c r="CK93" s="434"/>
      <c r="CL93" s="434"/>
      <c r="CM93" s="434"/>
      <c r="CN93" s="349"/>
      <c r="CO93" s="434" t="s">
        <v>35</v>
      </c>
      <c r="CP93" s="434"/>
      <c r="CQ93" s="434"/>
      <c r="CR93" s="434"/>
      <c r="CS93" s="349"/>
    </row>
    <row r="94" spans="1:99" ht="15.75" customHeight="1" x14ac:dyDescent="0.25">
      <c r="A94" s="148" t="s">
        <v>48</v>
      </c>
      <c r="B94" s="343">
        <v>62</v>
      </c>
      <c r="C94" s="435">
        <f t="shared" ref="C94:U94" si="268">IF((C32-C28)=0,"",C92/(C32-C28))</f>
        <v>-0.28121870472914984</v>
      </c>
      <c r="D94" s="435">
        <f t="shared" si="268"/>
        <v>-0.59314648186271179</v>
      </c>
      <c r="E94" s="435">
        <f t="shared" si="268"/>
        <v>-2.3576830668575051</v>
      </c>
      <c r="F94" s="435">
        <f t="shared" si="268"/>
        <v>-2.6106431545578266</v>
      </c>
      <c r="G94" s="435">
        <f t="shared" si="268"/>
        <v>-2.2656865144778284</v>
      </c>
      <c r="H94" s="435">
        <f t="shared" si="268"/>
        <v>-2.1883842818969863</v>
      </c>
      <c r="I94" s="435">
        <f t="shared" si="268"/>
        <v>-1.8038108039083975</v>
      </c>
      <c r="J94" s="435">
        <f t="shared" si="268"/>
        <v>-1.6131864330125911</v>
      </c>
      <c r="K94" s="436">
        <f t="shared" si="268"/>
        <v>-1.7407163220660198</v>
      </c>
      <c r="L94" s="437" t="str">
        <f t="shared" si="268"/>
        <v/>
      </c>
      <c r="M94" s="435">
        <f t="shared" si="268"/>
        <v>0.18324929603875684</v>
      </c>
      <c r="N94" s="435" t="str">
        <f t="shared" si="268"/>
        <v/>
      </c>
      <c r="O94" s="435">
        <f t="shared" si="268"/>
        <v>-0.83425746271721557</v>
      </c>
      <c r="P94" s="435" t="str">
        <f t="shared" si="268"/>
        <v/>
      </c>
      <c r="Q94" s="435">
        <f t="shared" si="268"/>
        <v>-0.56882319496977662</v>
      </c>
      <c r="R94" s="435" t="str">
        <f t="shared" si="268"/>
        <v/>
      </c>
      <c r="S94" s="435">
        <f t="shared" si="268"/>
        <v>-0.41312469990255668</v>
      </c>
      <c r="T94" s="438">
        <f t="shared" si="268"/>
        <v>-0.40151546464820081</v>
      </c>
      <c r="U94" s="437">
        <f t="shared" si="268"/>
        <v>-0.87885292798915393</v>
      </c>
      <c r="V94" s="343">
        <v>62</v>
      </c>
      <c r="W94" s="435">
        <f t="shared" ref="W94:AO94" si="269">IF((W32-W28)=0,"",W92/(W32-W28))</f>
        <v>5.6282394503005904E-3</v>
      </c>
      <c r="X94" s="435">
        <f t="shared" si="269"/>
        <v>0.2594926684625633</v>
      </c>
      <c r="Y94" s="435">
        <f t="shared" si="269"/>
        <v>0.4143914301106163</v>
      </c>
      <c r="Z94" s="435">
        <f t="shared" si="269"/>
        <v>0.3183897506450164</v>
      </c>
      <c r="AA94" s="435">
        <f t="shared" si="269"/>
        <v>0.34454021159168635</v>
      </c>
      <c r="AB94" s="435">
        <f t="shared" si="269"/>
        <v>0.36833320392701124</v>
      </c>
      <c r="AC94" s="435">
        <f t="shared" si="269"/>
        <v>0.26526751837546975</v>
      </c>
      <c r="AD94" s="435">
        <f t="shared" si="269"/>
        <v>0.35971995349674163</v>
      </c>
      <c r="AE94" s="436">
        <f t="shared" si="269"/>
        <v>0.31679080334673193</v>
      </c>
      <c r="AF94" s="437" t="str">
        <f t="shared" si="269"/>
        <v/>
      </c>
      <c r="AG94" s="435">
        <f t="shared" si="269"/>
        <v>0.11408963463192863</v>
      </c>
      <c r="AH94" s="435" t="str">
        <f t="shared" si="269"/>
        <v/>
      </c>
      <c r="AI94" s="435">
        <f t="shared" si="269"/>
        <v>0.20278599500500985</v>
      </c>
      <c r="AJ94" s="435" t="str">
        <f t="shared" si="269"/>
        <v/>
      </c>
      <c r="AK94" s="435">
        <f t="shared" si="269"/>
        <v>0.20829865128031458</v>
      </c>
      <c r="AL94" s="435" t="str">
        <f t="shared" si="269"/>
        <v/>
      </c>
      <c r="AM94" s="435">
        <f t="shared" si="269"/>
        <v>0.10988252259889308</v>
      </c>
      <c r="AN94" s="438">
        <f t="shared" si="269"/>
        <v>0.15651974159788543</v>
      </c>
      <c r="AO94" s="437">
        <f t="shared" si="269"/>
        <v>0.21973382677301023</v>
      </c>
      <c r="AP94" s="343">
        <v>62</v>
      </c>
      <c r="AQ94" s="435">
        <f t="shared" ref="AQ94:BI94" si="270">IF((AQ32-AQ28)=0,"",AQ92/(AQ32-AQ28))</f>
        <v>-5.8900718491069232E-2</v>
      </c>
      <c r="AR94" s="435">
        <f t="shared" si="270"/>
        <v>-2.1698054900177111E-2</v>
      </c>
      <c r="AS94" s="435">
        <f t="shared" si="270"/>
        <v>7.9848462957047339E-2</v>
      </c>
      <c r="AT94" s="435">
        <f t="shared" si="270"/>
        <v>5.1528573167481863E-2</v>
      </c>
      <c r="AU94" s="435">
        <f t="shared" si="270"/>
        <v>1.2797016132844613E-2</v>
      </c>
      <c r="AV94" s="435">
        <f t="shared" si="270"/>
        <v>3.639698448848197E-2</v>
      </c>
      <c r="AW94" s="435">
        <f t="shared" si="270"/>
        <v>-5.4078179198893857E-2</v>
      </c>
      <c r="AX94" s="435">
        <f t="shared" si="270"/>
        <v>2.3198327003418857E-2</v>
      </c>
      <c r="AY94" s="436">
        <f t="shared" si="270"/>
        <v>1.442364172336481E-2</v>
      </c>
      <c r="AZ94" s="437" t="str">
        <f t="shared" si="270"/>
        <v/>
      </c>
      <c r="BA94" s="435">
        <f t="shared" si="270"/>
        <v>0.20555665796378012</v>
      </c>
      <c r="BB94" s="435" t="str">
        <f t="shared" si="270"/>
        <v/>
      </c>
      <c r="BC94" s="435">
        <f t="shared" si="270"/>
        <v>0.11306685265174438</v>
      </c>
      <c r="BD94" s="435" t="str">
        <f t="shared" si="270"/>
        <v/>
      </c>
      <c r="BE94" s="435">
        <f t="shared" si="270"/>
        <v>0.14640587294850263</v>
      </c>
      <c r="BF94" s="435" t="str">
        <f t="shared" si="270"/>
        <v/>
      </c>
      <c r="BG94" s="435">
        <f t="shared" si="270"/>
        <v>0.10954433123391392</v>
      </c>
      <c r="BH94" s="438">
        <f t="shared" si="270"/>
        <v>0.1450837783994465</v>
      </c>
      <c r="BI94" s="437">
        <f t="shared" si="270"/>
        <v>6.6692916131119148E-2</v>
      </c>
      <c r="BJ94" s="343">
        <v>62</v>
      </c>
      <c r="BK94" s="435">
        <f t="shared" ref="BK94:CC94" si="271">IF((BK32-BK28)=0,"",BK92/(BK32-BK28))</f>
        <v>-0.23742217113194078</v>
      </c>
      <c r="BL94" s="435">
        <f t="shared" si="271"/>
        <v>-0.10231069600165103</v>
      </c>
      <c r="BM94" s="435">
        <f t="shared" si="271"/>
        <v>1.7111314649842075E-2</v>
      </c>
      <c r="BN94" s="435">
        <f t="shared" si="271"/>
        <v>2.484141043739262E-2</v>
      </c>
      <c r="BO94" s="435">
        <f t="shared" si="271"/>
        <v>-7.9121396121991039E-2</v>
      </c>
      <c r="BP94" s="435">
        <f t="shared" si="271"/>
        <v>-9.4774675649445125E-2</v>
      </c>
      <c r="BQ94" s="435">
        <f t="shared" si="271"/>
        <v>-5.8270923838350822E-2</v>
      </c>
      <c r="BR94" s="435">
        <f t="shared" si="271"/>
        <v>0.1022422579610251</v>
      </c>
      <c r="BS94" s="436">
        <f t="shared" si="271"/>
        <v>-1.7404068572086272E-2</v>
      </c>
      <c r="BT94" s="437" t="str">
        <f t="shared" si="271"/>
        <v/>
      </c>
      <c r="BU94" s="435">
        <f t="shared" si="271"/>
        <v>-7.5769380066078862E-2</v>
      </c>
      <c r="BV94" s="435" t="str">
        <f t="shared" si="271"/>
        <v/>
      </c>
      <c r="BW94" s="435">
        <f t="shared" si="271"/>
        <v>-0.38427441417828367</v>
      </c>
      <c r="BX94" s="435" t="str">
        <f t="shared" si="271"/>
        <v/>
      </c>
      <c r="BY94" s="435">
        <f t="shared" si="271"/>
        <v>-0.17810594805999372</v>
      </c>
      <c r="BZ94" s="435" t="str">
        <f t="shared" si="271"/>
        <v/>
      </c>
      <c r="CA94" s="435">
        <f t="shared" si="271"/>
        <v>-0.25414341291686871</v>
      </c>
      <c r="CB94" s="438">
        <f t="shared" si="271"/>
        <v>-0.21964209302581336</v>
      </c>
      <c r="CC94" s="437">
        <f t="shared" si="271"/>
        <v>-6.5030907081706502E-2</v>
      </c>
      <c r="CD94" s="343">
        <v>62</v>
      </c>
      <c r="CE94" s="438">
        <f t="shared" ref="CE94:CS94" si="272">IF((CE32-CE28)=0,"",CE92/(CE32-CE28))</f>
        <v>-5.4648543413557404E-2</v>
      </c>
      <c r="CF94" s="438">
        <f t="shared" si="272"/>
        <v>-5.1228924804359262E-2</v>
      </c>
      <c r="CG94" s="438">
        <f t="shared" si="272"/>
        <v>-7.0855759326011888E-2</v>
      </c>
      <c r="CH94" s="438">
        <f t="shared" si="272"/>
        <v>-5.7940289447388077E-2</v>
      </c>
      <c r="CI94" s="471">
        <f t="shared" si="272"/>
        <v>-5.8837264384780479E-2</v>
      </c>
      <c r="CJ94" s="438">
        <f t="shared" si="272"/>
        <v>0.19090129511762502</v>
      </c>
      <c r="CK94" s="438">
        <f t="shared" si="272"/>
        <v>-7.7142469254437088E-3</v>
      </c>
      <c r="CL94" s="438">
        <f t="shared" si="272"/>
        <v>5.8454161534917608E-2</v>
      </c>
      <c r="CM94" s="438">
        <f t="shared" si="272"/>
        <v>3.8595375283278971E-2</v>
      </c>
      <c r="CN94" s="471" t="str">
        <f t="shared" si="272"/>
        <v/>
      </c>
      <c r="CO94" s="438">
        <f t="shared" si="272"/>
        <v>5.4501027351915282E-2</v>
      </c>
      <c r="CP94" s="438">
        <f t="shared" si="272"/>
        <v>-3.4074510620829938E-2</v>
      </c>
      <c r="CQ94" s="438">
        <f t="shared" si="272"/>
        <v>-1.7444552242380583E-2</v>
      </c>
      <c r="CR94" s="438">
        <f t="shared" si="272"/>
        <v>-1.9206695943461284E-2</v>
      </c>
      <c r="CS94" s="471">
        <f t="shared" si="272"/>
        <v>-4.2486154341906304E-3</v>
      </c>
      <c r="CU94" s="362"/>
    </row>
    <row r="95" spans="1:99" ht="15.75" customHeight="1" x14ac:dyDescent="0.25">
      <c r="A95" s="148" t="s">
        <v>1446</v>
      </c>
      <c r="B95" s="343">
        <v>63</v>
      </c>
      <c r="C95" s="440">
        <f>IF((C32-C28-C25)=0,"",(C73+C66-C64)/(C32-C28-C25))</f>
        <v>1.1923378675329095</v>
      </c>
      <c r="D95" s="440">
        <f t="shared" ref="D95:U95" si="273">IF((D32-D28-D25)=0,"",(D73+D66-D64)/(D32-D28-D25))</f>
        <v>1.5042656446664713</v>
      </c>
      <c r="E95" s="440">
        <f t="shared" si="273"/>
        <v>3.2574211548685983</v>
      </c>
      <c r="F95" s="440">
        <f t="shared" si="273"/>
        <v>3.5103812425689207</v>
      </c>
      <c r="G95" s="440">
        <f t="shared" si="273"/>
        <v>3.1668737480492717</v>
      </c>
      <c r="H95" s="440">
        <f t="shared" si="273"/>
        <v>3.0895715154684296</v>
      </c>
      <c r="I95" s="440">
        <f t="shared" si="273"/>
        <v>2.7028792896202707</v>
      </c>
      <c r="J95" s="440">
        <f t="shared" si="273"/>
        <v>2.512254918724464</v>
      </c>
      <c r="K95" s="436">
        <f t="shared" si="273"/>
        <v>2.6433561670513996</v>
      </c>
      <c r="L95" s="441" t="str">
        <f t="shared" si="273"/>
        <v/>
      </c>
      <c r="M95" s="440">
        <f t="shared" si="273"/>
        <v>0.73981139927520612</v>
      </c>
      <c r="N95" s="440" t="str">
        <f t="shared" si="273"/>
        <v/>
      </c>
      <c r="O95" s="440">
        <f t="shared" si="273"/>
        <v>1.7498687730336622</v>
      </c>
      <c r="P95" s="440" t="str">
        <f t="shared" si="273"/>
        <v/>
      </c>
      <c r="Q95" s="440">
        <f t="shared" si="273"/>
        <v>1.488608181763529</v>
      </c>
      <c r="R95" s="440" t="str">
        <f t="shared" si="273"/>
        <v/>
      </c>
      <c r="S95" s="440">
        <f t="shared" si="273"/>
        <v>1.3325191319674698</v>
      </c>
      <c r="T95" s="438">
        <f t="shared" si="273"/>
        <v>1.3210547198893581</v>
      </c>
      <c r="U95" s="442">
        <f t="shared" si="273"/>
        <v>1.7923686494349365</v>
      </c>
      <c r="V95" s="343">
        <v>63</v>
      </c>
      <c r="W95" s="440">
        <f>IF((W32-W28-W25)=0,"",(W73+W66-W64)/(W32-W28-W25))</f>
        <v>0.90549092335345893</v>
      </c>
      <c r="X95" s="440">
        <f t="shared" ref="X95:AO95" si="274">IF((X32-X28-X25)=0,"",(X73+X66-X64)/(X32-X28-X25))</f>
        <v>0.65162649434119624</v>
      </c>
      <c r="Y95" s="440">
        <f t="shared" si="274"/>
        <v>0.48534665790047737</v>
      </c>
      <c r="Z95" s="440">
        <f t="shared" si="274"/>
        <v>0.58134833736607727</v>
      </c>
      <c r="AA95" s="440">
        <f t="shared" si="274"/>
        <v>0.55664702197975657</v>
      </c>
      <c r="AB95" s="440">
        <f t="shared" si="274"/>
        <v>0.53285402964443174</v>
      </c>
      <c r="AC95" s="440">
        <f t="shared" si="274"/>
        <v>0.63380096733640334</v>
      </c>
      <c r="AD95" s="440">
        <f t="shared" si="274"/>
        <v>0.53934853221513146</v>
      </c>
      <c r="AE95" s="436">
        <f t="shared" si="274"/>
        <v>0.58602345025977576</v>
      </c>
      <c r="AF95" s="441" t="str">
        <f t="shared" si="274"/>
        <v/>
      </c>
      <c r="AG95" s="440">
        <f t="shared" si="274"/>
        <v>0.81258272127197273</v>
      </c>
      <c r="AH95" s="440" t="str">
        <f t="shared" si="274"/>
        <v/>
      </c>
      <c r="AI95" s="440">
        <f t="shared" si="274"/>
        <v>0.71684877745601305</v>
      </c>
      <c r="AJ95" s="440" t="str">
        <f t="shared" si="274"/>
        <v/>
      </c>
      <c r="AK95" s="440">
        <f t="shared" si="274"/>
        <v>0.71429021140714233</v>
      </c>
      <c r="AL95" s="440" t="str">
        <f t="shared" si="274"/>
        <v/>
      </c>
      <c r="AM95" s="440">
        <f t="shared" si="274"/>
        <v>0.81129631160612037</v>
      </c>
      <c r="AN95" s="438">
        <f t="shared" si="274"/>
        <v>0.76616012095393415</v>
      </c>
      <c r="AO95" s="442">
        <f t="shared" si="274"/>
        <v>0.69511064564523317</v>
      </c>
      <c r="AP95" s="343">
        <v>63</v>
      </c>
      <c r="AQ95" s="440">
        <f>IF((AQ32-AQ28-AQ25)=0,"",(AQ73+AQ66-AQ64)/(AQ32-AQ28-AQ25))</f>
        <v>0.97001988129482875</v>
      </c>
      <c r="AR95" s="440">
        <f t="shared" ref="AR95:BI95" si="275">IF((AR32-AR28-AR25)=0,"",(AR73+AR66-AR64)/(AR32-AR28-AR25))</f>
        <v>0.93281721770393677</v>
      </c>
      <c r="AS95" s="440">
        <f t="shared" si="275"/>
        <v>0.81988962505404639</v>
      </c>
      <c r="AT95" s="440">
        <f t="shared" si="275"/>
        <v>0.84820951484361173</v>
      </c>
      <c r="AU95" s="440">
        <f t="shared" si="275"/>
        <v>0.88839021743859836</v>
      </c>
      <c r="AV95" s="440">
        <f t="shared" si="275"/>
        <v>0.86479024908296098</v>
      </c>
      <c r="AW95" s="440">
        <f t="shared" si="275"/>
        <v>0.95314666491076694</v>
      </c>
      <c r="AX95" s="440">
        <f t="shared" si="275"/>
        <v>0.87587015870845419</v>
      </c>
      <c r="AY95" s="436">
        <f t="shared" si="275"/>
        <v>0.88811902951050281</v>
      </c>
      <c r="AZ95" s="441" t="str">
        <f t="shared" si="275"/>
        <v/>
      </c>
      <c r="BA95" s="440">
        <f t="shared" si="275"/>
        <v>0.718238247185367</v>
      </c>
      <c r="BB95" s="440" t="str">
        <f t="shared" si="275"/>
        <v/>
      </c>
      <c r="BC95" s="440">
        <f t="shared" si="275"/>
        <v>0.80504086980310685</v>
      </c>
      <c r="BD95" s="440" t="str">
        <f t="shared" si="275"/>
        <v/>
      </c>
      <c r="BE95" s="440">
        <f t="shared" si="275"/>
        <v>0.77294978941518333</v>
      </c>
      <c r="BF95" s="440" t="str">
        <f t="shared" si="275"/>
        <v/>
      </c>
      <c r="BG95" s="440">
        <f t="shared" si="275"/>
        <v>0.80889284998017974</v>
      </c>
      <c r="BH95" s="438">
        <f t="shared" si="275"/>
        <v>0.77492934936632574</v>
      </c>
      <c r="BI95" s="442">
        <f t="shared" si="275"/>
        <v>0.84283863564217965</v>
      </c>
      <c r="BJ95" s="343">
        <v>63</v>
      </c>
      <c r="BK95" s="440">
        <f>IF((BK32-BK28-BK25)=0,"",(BK73+BK66-BK64)/(BK32-BK28-BK25))</f>
        <v>1.2409255587123647</v>
      </c>
      <c r="BL95" s="440">
        <f t="shared" ref="BL95:CC95" si="276">IF((BL32-BL28-BL25)=0,"",(BL73+BL66-BL64)/(BL32-BL28-BL25))</f>
        <v>1.0957268480536171</v>
      </c>
      <c r="BM95" s="440">
        <f t="shared" si="276"/>
        <v>0.95635631351153572</v>
      </c>
      <c r="BN95" s="440">
        <f t="shared" si="276"/>
        <v>0.94804635917415281</v>
      </c>
      <c r="BO95" s="440">
        <f t="shared" si="276"/>
        <v>1.0635236082733144</v>
      </c>
      <c r="BP95" s="440">
        <f t="shared" si="276"/>
        <v>1.0803839691590504</v>
      </c>
      <c r="BQ95" s="440">
        <f t="shared" si="276"/>
        <v>1.2833695585312004</v>
      </c>
      <c r="BR95" s="440">
        <f t="shared" si="276"/>
        <v>1.0734057725466011</v>
      </c>
      <c r="BS95" s="436">
        <f t="shared" si="276"/>
        <v>1.0574422633456098</v>
      </c>
      <c r="BT95" s="441" t="str">
        <f t="shared" si="276"/>
        <v/>
      </c>
      <c r="BU95" s="440">
        <f t="shared" si="276"/>
        <v>0.99792352006450491</v>
      </c>
      <c r="BV95" s="440" t="str">
        <f t="shared" si="276"/>
        <v/>
      </c>
      <c r="BW95" s="440">
        <f t="shared" si="276"/>
        <v>1.2995451760101464</v>
      </c>
      <c r="BX95" s="440" t="str">
        <f t="shared" si="276"/>
        <v/>
      </c>
      <c r="BY95" s="440">
        <f t="shared" si="276"/>
        <v>1.0927881317817216</v>
      </c>
      <c r="BZ95" s="440" t="str">
        <f t="shared" si="276"/>
        <v/>
      </c>
      <c r="CA95" s="440">
        <f t="shared" si="276"/>
        <v>1.1629166874262395</v>
      </c>
      <c r="CB95" s="438">
        <f t="shared" si="276"/>
        <v>1.1348351275888218</v>
      </c>
      <c r="CC95" s="442">
        <f t="shared" si="276"/>
        <v>1.0774898401222339</v>
      </c>
      <c r="CD95" s="343">
        <v>63</v>
      </c>
      <c r="CE95" s="438">
        <f t="shared" ref="CE95:CS95" si="277">IF((CE32-CE28-CE25)=0,"",(CE73+CE66-CE64)/(CE32-CE28-CE25))</f>
        <v>0.9713276393193131</v>
      </c>
      <c r="CF95" s="438">
        <f t="shared" si="277"/>
        <v>0.9561871786559103</v>
      </c>
      <c r="CG95" s="438">
        <f t="shared" si="277"/>
        <v>0.97711074012515509</v>
      </c>
      <c r="CH95" s="438">
        <f t="shared" si="277"/>
        <v>0.97697643612190688</v>
      </c>
      <c r="CI95" s="439">
        <f t="shared" si="277"/>
        <v>0.97064056932842357</v>
      </c>
      <c r="CJ95" s="438">
        <f t="shared" si="277"/>
        <v>0.73287093611737575</v>
      </c>
      <c r="CK95" s="438">
        <f t="shared" si="277"/>
        <v>0.92549986351872315</v>
      </c>
      <c r="CL95" s="438">
        <f t="shared" si="277"/>
        <v>0.86092239187944397</v>
      </c>
      <c r="CM95" s="438">
        <f t="shared" si="277"/>
        <v>0.87972580788869359</v>
      </c>
      <c r="CN95" s="439" t="str">
        <f t="shared" si="277"/>
        <v/>
      </c>
      <c r="CO95" s="438">
        <f t="shared" si="277"/>
        <v>0.86502136454560097</v>
      </c>
      <c r="CP95" s="438">
        <f t="shared" si="277"/>
        <v>0.94405326407026768</v>
      </c>
      <c r="CQ95" s="438">
        <f t="shared" si="277"/>
        <v>0.92898632673848403</v>
      </c>
      <c r="CR95" s="438">
        <f t="shared" si="277"/>
        <v>0.93751831274746644</v>
      </c>
      <c r="CS95" s="439">
        <f t="shared" si="277"/>
        <v>0.9191365934705048</v>
      </c>
    </row>
    <row r="96" spans="1:99" ht="15.75" customHeight="1" x14ac:dyDescent="0.25">
      <c r="A96" s="148" t="s">
        <v>1529</v>
      </c>
      <c r="B96" s="343">
        <v>64</v>
      </c>
      <c r="C96" s="440">
        <f>IF((C32-C28)=0,"",(C73)/(C32-C28))</f>
        <v>3.090169405012454E-2</v>
      </c>
      <c r="D96" s="440">
        <f t="shared" ref="D96:U96" si="278">IF((D32-D28)=0,"",(D73)/(D32-D28))</f>
        <v>3.090169405012454E-2</v>
      </c>
      <c r="E96" s="440">
        <f t="shared" si="278"/>
        <v>3.3452807766538292E-2</v>
      </c>
      <c r="F96" s="440">
        <f t="shared" si="278"/>
        <v>3.3452807766538292E-2</v>
      </c>
      <c r="G96" s="440">
        <f t="shared" si="278"/>
        <v>3.4899848854720548E-2</v>
      </c>
      <c r="H96" s="440">
        <f t="shared" si="278"/>
        <v>3.4899848854720555E-2</v>
      </c>
      <c r="I96" s="440">
        <f t="shared" si="278"/>
        <v>3.3520489019398185E-2</v>
      </c>
      <c r="J96" s="440">
        <f t="shared" si="278"/>
        <v>3.3520489019398178E-2</v>
      </c>
      <c r="K96" s="436">
        <f t="shared" si="278"/>
        <v>3.3233518973314551E-2</v>
      </c>
      <c r="L96" s="441" t="str">
        <f t="shared" si="278"/>
        <v/>
      </c>
      <c r="M96" s="440">
        <f t="shared" si="278"/>
        <v>2.5700816369744816E-2</v>
      </c>
      <c r="N96" s="440" t="str">
        <f t="shared" si="278"/>
        <v/>
      </c>
      <c r="O96" s="440">
        <f t="shared" si="278"/>
        <v>2.7225141020939585E-2</v>
      </c>
      <c r="P96" s="440" t="str">
        <f t="shared" si="278"/>
        <v/>
      </c>
      <c r="Q96" s="440">
        <f t="shared" si="278"/>
        <v>2.7463225021346068E-2</v>
      </c>
      <c r="R96" s="440" t="str">
        <f t="shared" si="278"/>
        <v/>
      </c>
      <c r="S96" s="440">
        <f t="shared" si="278"/>
        <v>2.5966473395860504E-2</v>
      </c>
      <c r="T96" s="438">
        <f t="shared" si="278"/>
        <v>2.6575439906383214E-2</v>
      </c>
      <c r="U96" s="442">
        <f t="shared" si="278"/>
        <v>2.8948609364070437E-2</v>
      </c>
      <c r="V96" s="343">
        <v>64</v>
      </c>
      <c r="W96" s="440">
        <f t="shared" ref="W96:AO96" si="279">IF((W32-W28)=0,"",(W73)/(W32-W28))</f>
        <v>3.0901694050124544E-2</v>
      </c>
      <c r="X96" s="440">
        <f t="shared" si="279"/>
        <v>3.090169405012454E-2</v>
      </c>
      <c r="Y96" s="440">
        <f t="shared" si="279"/>
        <v>3.3452807766538299E-2</v>
      </c>
      <c r="Z96" s="440">
        <f t="shared" si="279"/>
        <v>3.3452807766538292E-2</v>
      </c>
      <c r="AA96" s="440">
        <f t="shared" si="279"/>
        <v>3.4899848854720562E-2</v>
      </c>
      <c r="AB96" s="440">
        <f t="shared" si="279"/>
        <v>3.4899848854720562E-2</v>
      </c>
      <c r="AC96" s="440">
        <f t="shared" si="279"/>
        <v>3.3520489019398178E-2</v>
      </c>
      <c r="AD96" s="440">
        <f t="shared" si="279"/>
        <v>3.3520489019398178E-2</v>
      </c>
      <c r="AE96" s="436">
        <f t="shared" si="279"/>
        <v>3.3175908899588928E-2</v>
      </c>
      <c r="AF96" s="441" t="str">
        <f t="shared" si="279"/>
        <v/>
      </c>
      <c r="AG96" s="440">
        <f t="shared" si="279"/>
        <v>2.4494376748401377E-2</v>
      </c>
      <c r="AH96" s="440" t="str">
        <f t="shared" si="279"/>
        <v/>
      </c>
      <c r="AI96" s="440">
        <f t="shared" si="279"/>
        <v>2.5927107781067493E-2</v>
      </c>
      <c r="AJ96" s="440" t="str">
        <f t="shared" si="279"/>
        <v/>
      </c>
      <c r="AK96" s="440">
        <f t="shared" si="279"/>
        <v>2.6503261648869417E-2</v>
      </c>
      <c r="AL96" s="440" t="str">
        <f t="shared" si="279"/>
        <v/>
      </c>
      <c r="AM96" s="440">
        <f t="shared" si="279"/>
        <v>2.539164175723551E-2</v>
      </c>
      <c r="AN96" s="438">
        <f t="shared" si="279"/>
        <v>2.5542442436921602E-2</v>
      </c>
      <c r="AO96" s="442">
        <f t="shared" si="279"/>
        <v>2.8553232993164888E-2</v>
      </c>
      <c r="AP96" s="343">
        <v>64</v>
      </c>
      <c r="AQ96" s="440">
        <f t="shared" ref="AQ96:BI96" si="280">IF((AQ32-AQ28)=0,"",(AQ73)/(AQ32-AQ28))</f>
        <v>3.0901694050124544E-2</v>
      </c>
      <c r="AR96" s="440">
        <f t="shared" si="280"/>
        <v>3.090169405012454E-2</v>
      </c>
      <c r="AS96" s="440">
        <f t="shared" si="280"/>
        <v>3.3452807766538299E-2</v>
      </c>
      <c r="AT96" s="440">
        <f t="shared" si="280"/>
        <v>3.3452807766538292E-2</v>
      </c>
      <c r="AU96" s="440">
        <f t="shared" si="280"/>
        <v>3.4899848854720555E-2</v>
      </c>
      <c r="AV96" s="440">
        <f t="shared" si="280"/>
        <v>3.4899848854720555E-2</v>
      </c>
      <c r="AW96" s="440">
        <f t="shared" si="280"/>
        <v>3.3520489019398178E-2</v>
      </c>
      <c r="AX96" s="440">
        <f t="shared" si="280"/>
        <v>3.3520489019398178E-2</v>
      </c>
      <c r="AY96" s="436">
        <f t="shared" si="280"/>
        <v>3.3256370400313512E-2</v>
      </c>
      <c r="AZ96" s="441" t="str">
        <f t="shared" si="280"/>
        <v/>
      </c>
      <c r="BA96" s="440">
        <f t="shared" si="280"/>
        <v>2.5455560811120641E-2</v>
      </c>
      <c r="BB96" s="440" t="str">
        <f t="shared" si="280"/>
        <v/>
      </c>
      <c r="BC96" s="440">
        <f t="shared" si="280"/>
        <v>2.641975853699164E-2</v>
      </c>
      <c r="BD96" s="440" t="str">
        <f t="shared" si="280"/>
        <v/>
      </c>
      <c r="BE96" s="440">
        <f t="shared" si="280"/>
        <v>2.7610212885073798E-2</v>
      </c>
      <c r="BF96" s="440" t="str">
        <f t="shared" si="280"/>
        <v/>
      </c>
      <c r="BG96" s="440">
        <f t="shared" si="280"/>
        <v>2.6274844509515973E-2</v>
      </c>
      <c r="BH96" s="438">
        <f t="shared" si="280"/>
        <v>2.6430851603227827E-2</v>
      </c>
      <c r="BI96" s="442">
        <f t="shared" si="280"/>
        <v>3.052589020906275E-2</v>
      </c>
      <c r="BJ96" s="343">
        <v>64</v>
      </c>
      <c r="BK96" s="440">
        <f t="shared" ref="BK96:CC96" si="281">IF((BK32-BK28)=0,"",(BK73)/(BK32-BK28))</f>
        <v>2.8754893539997783E-2</v>
      </c>
      <c r="BL96" s="440">
        <f t="shared" si="281"/>
        <v>2.8754893539997779E-2</v>
      </c>
      <c r="BM96" s="440">
        <f t="shared" si="281"/>
        <v>3.1118511353853819E-2</v>
      </c>
      <c r="BN96" s="440">
        <f t="shared" si="281"/>
        <v>3.1118511353853819E-2</v>
      </c>
      <c r="BO96" s="440">
        <f t="shared" si="281"/>
        <v>3.2401269064828375E-2</v>
      </c>
      <c r="BP96" s="440">
        <f t="shared" si="281"/>
        <v>3.2401269064828375E-2</v>
      </c>
      <c r="BQ96" s="440">
        <f t="shared" si="281"/>
        <v>2.5625754092514295E-2</v>
      </c>
      <c r="BR96" s="440">
        <f t="shared" si="281"/>
        <v>2.5625754092514292E-2</v>
      </c>
      <c r="BS96" s="436">
        <f t="shared" si="281"/>
        <v>2.9231513668735894E-2</v>
      </c>
      <c r="BT96" s="441" t="str">
        <f t="shared" si="281"/>
        <v/>
      </c>
      <c r="BU96" s="440">
        <f t="shared" si="281"/>
        <v>2.6003642237338837E-2</v>
      </c>
      <c r="BV96" s="440" t="str">
        <f t="shared" si="281"/>
        <v/>
      </c>
      <c r="BW96" s="440">
        <f t="shared" si="281"/>
        <v>2.7335007408864687E-2</v>
      </c>
      <c r="BX96" s="440" t="str">
        <f t="shared" si="281"/>
        <v/>
      </c>
      <c r="BY96" s="440">
        <f t="shared" si="281"/>
        <v>2.9210272405684252E-2</v>
      </c>
      <c r="BZ96" s="440" t="str">
        <f t="shared" si="281"/>
        <v/>
      </c>
      <c r="CA96" s="440">
        <f t="shared" si="281"/>
        <v>2.9387998883049375E-2</v>
      </c>
      <c r="CB96" s="438">
        <f t="shared" si="281"/>
        <v>2.7981571027942589E-2</v>
      </c>
      <c r="CC96" s="442">
        <f t="shared" si="281"/>
        <v>2.8937153513368723E-2</v>
      </c>
      <c r="CD96" s="343">
        <v>64</v>
      </c>
      <c r="CE96" s="438">
        <f t="shared" ref="CE96:CS96" si="282">IF((CE32-CE28)=0,"",(CE73)/(CE32-CE28))</f>
        <v>3.0739639741502418E-2</v>
      </c>
      <c r="CF96" s="438">
        <f t="shared" si="282"/>
        <v>3.3287509499052743E-2</v>
      </c>
      <c r="CG96" s="438">
        <f t="shared" si="282"/>
        <v>3.4735465781757333E-2</v>
      </c>
      <c r="CH96" s="438">
        <f t="shared" si="282"/>
        <v>3.2899540115749387E-2</v>
      </c>
      <c r="CI96" s="439">
        <f t="shared" si="282"/>
        <v>3.2961271611349048E-2</v>
      </c>
      <c r="CJ96" s="438">
        <f t="shared" si="282"/>
        <v>2.5463134808653302E-2</v>
      </c>
      <c r="CK96" s="438">
        <f t="shared" si="282"/>
        <v>2.6523675039758145E-2</v>
      </c>
      <c r="CL96" s="438">
        <f t="shared" si="282"/>
        <v>2.7603060413202249E-2</v>
      </c>
      <c r="CM96" s="438">
        <f t="shared" si="282"/>
        <v>2.6312212400492627E-2</v>
      </c>
      <c r="CN96" s="439" t="str">
        <f t="shared" si="282"/>
        <v/>
      </c>
      <c r="CO96" s="438">
        <f t="shared" si="282"/>
        <v>2.839417597737437E-2</v>
      </c>
      <c r="CP96" s="438">
        <f t="shared" si="282"/>
        <v>3.0621061683296546E-2</v>
      </c>
      <c r="CQ96" s="438">
        <f t="shared" si="282"/>
        <v>3.1789439849578424E-2</v>
      </c>
      <c r="CR96" s="438">
        <f t="shared" si="282"/>
        <v>3.0256466442286085E-2</v>
      </c>
      <c r="CS96" s="439">
        <f t="shared" si="282"/>
        <v>3.0277134851667692E-2</v>
      </c>
    </row>
    <row r="97" spans="1:97" ht="15.75" customHeight="1" x14ac:dyDescent="0.25">
      <c r="A97" s="148" t="s">
        <v>49</v>
      </c>
      <c r="B97" s="343">
        <v>65</v>
      </c>
      <c r="C97" s="440">
        <f t="shared" ref="C97:U97" si="283">IF((C32-C28)=0,"",C88/(C32-C28))</f>
        <v>8.8880837196240389E-2</v>
      </c>
      <c r="D97" s="440">
        <f t="shared" si="283"/>
        <v>8.8880837196240389E-2</v>
      </c>
      <c r="E97" s="440">
        <f t="shared" si="283"/>
        <v>0.10026191198890635</v>
      </c>
      <c r="F97" s="440">
        <f t="shared" si="283"/>
        <v>0.10026191198890635</v>
      </c>
      <c r="G97" s="440">
        <f t="shared" si="283"/>
        <v>9.8812766428557033E-2</v>
      </c>
      <c r="H97" s="440">
        <f t="shared" si="283"/>
        <v>9.8812766428557047E-2</v>
      </c>
      <c r="I97" s="440">
        <f t="shared" si="283"/>
        <v>0.10093151428812694</v>
      </c>
      <c r="J97" s="440">
        <f t="shared" si="283"/>
        <v>0.10093151428812694</v>
      </c>
      <c r="K97" s="443">
        <f t="shared" si="283"/>
        <v>9.7360155014619906E-2</v>
      </c>
      <c r="L97" s="441" t="str">
        <f t="shared" si="283"/>
        <v/>
      </c>
      <c r="M97" s="440">
        <f t="shared" si="283"/>
        <v>7.6939304686037061E-2</v>
      </c>
      <c r="N97" s="440" t="str">
        <f t="shared" si="283"/>
        <v/>
      </c>
      <c r="O97" s="440">
        <f t="shared" si="283"/>
        <v>8.4388689683553439E-2</v>
      </c>
      <c r="P97" s="440" t="str">
        <f t="shared" si="283"/>
        <v/>
      </c>
      <c r="Q97" s="440">
        <f t="shared" si="283"/>
        <v>8.0215013206247424E-2</v>
      </c>
      <c r="R97" s="440" t="str">
        <f t="shared" si="283"/>
        <v/>
      </c>
      <c r="S97" s="440">
        <f t="shared" si="283"/>
        <v>8.0605567935086664E-2</v>
      </c>
      <c r="T97" s="444">
        <f t="shared" si="283"/>
        <v>8.0460744758843433E-2</v>
      </c>
      <c r="U97" s="441">
        <f t="shared" si="283"/>
        <v>8.6484278554217711E-2</v>
      </c>
      <c r="V97" s="343">
        <v>65</v>
      </c>
      <c r="W97" s="440">
        <f t="shared" ref="W97:AO97" si="284">IF((W32-W28)=0,"",W88/(W32-W28))</f>
        <v>8.8880837196240389E-2</v>
      </c>
      <c r="X97" s="440">
        <f t="shared" si="284"/>
        <v>8.8880837196240389E-2</v>
      </c>
      <c r="Y97" s="440">
        <f t="shared" si="284"/>
        <v>0.10026191198890637</v>
      </c>
      <c r="Z97" s="440">
        <f t="shared" si="284"/>
        <v>0.10026191198890635</v>
      </c>
      <c r="AA97" s="440">
        <f t="shared" si="284"/>
        <v>9.8812766428557061E-2</v>
      </c>
      <c r="AB97" s="440">
        <f t="shared" si="284"/>
        <v>9.8812766428557061E-2</v>
      </c>
      <c r="AC97" s="440">
        <f t="shared" si="284"/>
        <v>0.10093151428812695</v>
      </c>
      <c r="AD97" s="440">
        <f t="shared" si="284"/>
        <v>0.10093151428812693</v>
      </c>
      <c r="AE97" s="443">
        <f t="shared" si="284"/>
        <v>9.7185746393492367E-2</v>
      </c>
      <c r="AF97" s="441" t="str">
        <f t="shared" si="284"/>
        <v/>
      </c>
      <c r="AG97" s="440">
        <f t="shared" si="284"/>
        <v>7.332764409609871E-2</v>
      </c>
      <c r="AH97" s="440" t="str">
        <f t="shared" si="284"/>
        <v/>
      </c>
      <c r="AI97" s="440">
        <f t="shared" si="284"/>
        <v>8.0365227538977083E-2</v>
      </c>
      <c r="AJ97" s="440" t="str">
        <f t="shared" si="284"/>
        <v/>
      </c>
      <c r="AK97" s="440">
        <f t="shared" si="284"/>
        <v>7.7411137312543163E-2</v>
      </c>
      <c r="AL97" s="440" t="str">
        <f t="shared" si="284"/>
        <v/>
      </c>
      <c r="AM97" s="440">
        <f t="shared" si="284"/>
        <v>7.8821165794986645E-2</v>
      </c>
      <c r="AN97" s="444">
        <f t="shared" si="284"/>
        <v>7.7320137448180531E-2</v>
      </c>
      <c r="AO97" s="441">
        <f t="shared" si="284"/>
        <v>8.5155527581756554E-2</v>
      </c>
      <c r="AP97" s="343">
        <v>65</v>
      </c>
      <c r="AQ97" s="440">
        <f t="shared" ref="AQ97:BI97" si="285">IF((AQ32-AQ28)=0,"",AQ88/(AQ32-AQ28))</f>
        <v>8.8880837196240403E-2</v>
      </c>
      <c r="AR97" s="440">
        <f t="shared" si="285"/>
        <v>8.8880837196240375E-2</v>
      </c>
      <c r="AS97" s="440">
        <f t="shared" si="285"/>
        <v>0.10026191198890635</v>
      </c>
      <c r="AT97" s="440">
        <f t="shared" si="285"/>
        <v>0.10026191198890635</v>
      </c>
      <c r="AU97" s="440">
        <f t="shared" si="285"/>
        <v>9.8812766428557075E-2</v>
      </c>
      <c r="AV97" s="440">
        <f t="shared" si="285"/>
        <v>9.8812766428557061E-2</v>
      </c>
      <c r="AW97" s="440">
        <f t="shared" si="285"/>
        <v>0.10093151428812693</v>
      </c>
      <c r="AX97" s="440">
        <f t="shared" si="285"/>
        <v>0.10093151428812694</v>
      </c>
      <c r="AY97" s="443">
        <f t="shared" si="285"/>
        <v>9.7457328766132306E-2</v>
      </c>
      <c r="AZ97" s="441" t="str">
        <f t="shared" si="285"/>
        <v/>
      </c>
      <c r="BA97" s="440">
        <f t="shared" si="285"/>
        <v>7.6205094850852875E-2</v>
      </c>
      <c r="BB97" s="440" t="str">
        <f t="shared" si="285"/>
        <v/>
      </c>
      <c r="BC97" s="440">
        <f t="shared" si="285"/>
        <v>8.1892277545148759E-2</v>
      </c>
      <c r="BD97" s="440" t="str">
        <f t="shared" si="285"/>
        <v/>
      </c>
      <c r="BE97" s="440">
        <f t="shared" si="285"/>
        <v>8.0644337636313942E-2</v>
      </c>
      <c r="BF97" s="440" t="str">
        <f t="shared" si="285"/>
        <v/>
      </c>
      <c r="BG97" s="440">
        <f t="shared" si="285"/>
        <v>8.1562818785906363E-2</v>
      </c>
      <c r="BH97" s="444">
        <f t="shared" si="285"/>
        <v>7.9986872234227527E-2</v>
      </c>
      <c r="BI97" s="441">
        <f t="shared" si="285"/>
        <v>9.0468448226701192E-2</v>
      </c>
      <c r="BJ97" s="343">
        <v>65</v>
      </c>
      <c r="BK97" s="440">
        <f t="shared" ref="BK97:CC97" si="286">IF((BK32-BK28)=0,"",BK88/(BK32-BK28))</f>
        <v>8.2706113366411635E-2</v>
      </c>
      <c r="BL97" s="440">
        <f t="shared" si="286"/>
        <v>8.2706113366411607E-2</v>
      </c>
      <c r="BM97" s="440">
        <f t="shared" si="286"/>
        <v>9.3265757193233462E-2</v>
      </c>
      <c r="BN97" s="440">
        <f t="shared" si="286"/>
        <v>9.3265757193233462E-2</v>
      </c>
      <c r="BO97" s="440">
        <f t="shared" si="286"/>
        <v>9.1738478450707137E-2</v>
      </c>
      <c r="BP97" s="440">
        <f t="shared" si="286"/>
        <v>9.1738478450707123E-2</v>
      </c>
      <c r="BQ97" s="440">
        <f t="shared" si="286"/>
        <v>7.7160156101418062E-2</v>
      </c>
      <c r="BR97" s="440">
        <f t="shared" si="286"/>
        <v>7.7160156101418062E-2</v>
      </c>
      <c r="BS97" s="443">
        <f t="shared" si="286"/>
        <v>8.5645585871283819E-2</v>
      </c>
      <c r="BT97" s="441" t="str">
        <f t="shared" si="286"/>
        <v/>
      </c>
      <c r="BU97" s="440">
        <f t="shared" si="286"/>
        <v>7.7845860001573952E-2</v>
      </c>
      <c r="BV97" s="440" t="str">
        <f t="shared" si="286"/>
        <v/>
      </c>
      <c r="BW97" s="440">
        <f t="shared" si="286"/>
        <v>8.4729238168137364E-2</v>
      </c>
      <c r="BX97" s="440" t="str">
        <f t="shared" si="286"/>
        <v/>
      </c>
      <c r="BY97" s="440">
        <f t="shared" si="286"/>
        <v>8.5317816278272035E-2</v>
      </c>
      <c r="BZ97" s="440" t="str">
        <f t="shared" si="286"/>
        <v/>
      </c>
      <c r="CA97" s="440">
        <f t="shared" si="286"/>
        <v>9.1226725490629018E-2</v>
      </c>
      <c r="CB97" s="444">
        <f t="shared" si="286"/>
        <v>8.4806965436991705E-2</v>
      </c>
      <c r="CC97" s="441">
        <f t="shared" si="286"/>
        <v>8.5448091655728767E-2</v>
      </c>
      <c r="CD97" s="343">
        <v>65</v>
      </c>
      <c r="CE97" s="444">
        <f t="shared" ref="CE97:CS97" si="287">IF((CE32-CE28)=0,"",CE88/(CE32-CE28))</f>
        <v>8.8414729331790343E-2</v>
      </c>
      <c r="CF97" s="444">
        <f t="shared" si="287"/>
        <v>9.9766494071755224E-2</v>
      </c>
      <c r="CG97" s="444">
        <f t="shared" si="287"/>
        <v>9.8347344751198509E-2</v>
      </c>
      <c r="CH97" s="444">
        <f t="shared" si="287"/>
        <v>9.9061812652671791E-2</v>
      </c>
      <c r="CI97" s="471">
        <f t="shared" si="287"/>
        <v>9.6589423850484454E-2</v>
      </c>
      <c r="CJ97" s="444">
        <f t="shared" si="287"/>
        <v>7.6227768764999149E-2</v>
      </c>
      <c r="CK97" s="444">
        <f t="shared" si="287"/>
        <v>8.2214383406720548E-2</v>
      </c>
      <c r="CL97" s="444">
        <f t="shared" si="287"/>
        <v>8.062344658563847E-2</v>
      </c>
      <c r="CM97" s="444">
        <f t="shared" si="287"/>
        <v>8.1678816828027467E-2</v>
      </c>
      <c r="CN97" s="471" t="str">
        <f t="shared" si="287"/>
        <v/>
      </c>
      <c r="CO97" s="444">
        <f t="shared" si="287"/>
        <v>8.2997492966423808E-2</v>
      </c>
      <c r="CP97" s="444">
        <f t="shared" si="287"/>
        <v>9.2847077662860197E-2</v>
      </c>
      <c r="CQ97" s="444">
        <f t="shared" si="287"/>
        <v>9.102652366533584E-2</v>
      </c>
      <c r="CR97" s="444">
        <f t="shared" si="287"/>
        <v>9.2087127223916071E-2</v>
      </c>
      <c r="CS97" s="471">
        <f t="shared" si="287"/>
        <v>8.977585705858579E-2</v>
      </c>
    </row>
    <row r="99" spans="1:97" x14ac:dyDescent="0.25">
      <c r="K99" s="362"/>
    </row>
    <row r="100" spans="1:97" x14ac:dyDescent="0.25">
      <c r="K100" s="362"/>
    </row>
  </sheetData>
  <sheetProtection formatColumns="0"/>
  <mergeCells count="13">
    <mergeCell ref="BI11:BI13"/>
    <mergeCell ref="CD10:CD13"/>
    <mergeCell ref="CC11:CC13"/>
    <mergeCell ref="CS10:CS13"/>
    <mergeCell ref="AP10:AP13"/>
    <mergeCell ref="BJ10:BJ13"/>
    <mergeCell ref="CN10:CN13"/>
    <mergeCell ref="CI10:CI13"/>
    <mergeCell ref="V10:V13"/>
    <mergeCell ref="U11:U13"/>
    <mergeCell ref="AO11:AO13"/>
    <mergeCell ref="G1:I1"/>
    <mergeCell ref="B10:B13"/>
  </mergeCells>
  <pageMargins left="0.25" right="0.25" top="0.5" bottom="0.75" header="0.3" footer="0.3"/>
  <pageSetup paperSize="9" scale="58" fitToHeight="0" orientation="portrait" r:id="rId1"/>
  <headerFooter alignWithMargins="0"/>
  <ignoredErrors>
    <ignoredError sqref="K70"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EA342"/>
  <sheetViews>
    <sheetView zoomScale="90" zoomScaleNormal="90" workbookViewId="0">
      <pane xSplit="2" ySplit="14" topLeftCell="CN67" activePane="bottomRight" state="frozen"/>
      <selection activeCell="CT30" sqref="CT1:CW1048576"/>
      <selection pane="topRight" activeCell="CT30" sqref="CT1:CW1048576"/>
      <selection pane="bottomLeft" activeCell="CT30" sqref="CT1:CW1048576"/>
      <selection pane="bottomRight" activeCell="CT30" sqref="CT1:CW1048576"/>
    </sheetView>
  </sheetViews>
  <sheetFormatPr defaultColWidth="9.44140625" defaultRowHeight="13.2" x14ac:dyDescent="0.25"/>
  <cols>
    <col min="1" max="1" width="49.44140625" style="149" bestFit="1" customWidth="1"/>
    <col min="2" max="2" width="8.5546875" style="149" bestFit="1" customWidth="1"/>
    <col min="3" max="21" width="15.5546875" style="149" customWidth="1"/>
    <col min="22" max="22" width="7.44140625" style="149" bestFit="1" customWidth="1"/>
    <col min="23" max="41" width="15.5546875" style="149" customWidth="1"/>
    <col min="42" max="42" width="7.44140625" style="149" bestFit="1" customWidth="1"/>
    <col min="43" max="61" width="15.5546875" style="149" customWidth="1"/>
    <col min="62" max="62" width="7.44140625" style="149" bestFit="1" customWidth="1"/>
    <col min="63" max="81" width="15.5546875" style="149" customWidth="1"/>
    <col min="82" max="82" width="7.44140625" style="149" bestFit="1" customWidth="1"/>
    <col min="83" max="92" width="15.5546875" style="149" customWidth="1"/>
    <col min="93" max="93" width="16.77734375" style="149" bestFit="1" customWidth="1"/>
    <col min="94" max="97" width="15.5546875" style="149" customWidth="1"/>
    <col min="98" max="98" width="13.44140625" style="360" bestFit="1" customWidth="1"/>
    <col min="99" max="99" width="12.44140625" style="360" bestFit="1" customWidth="1"/>
    <col min="100" max="100" width="13.44140625" style="360" bestFit="1" customWidth="1"/>
    <col min="101" max="101" width="11.44140625" style="360" bestFit="1" customWidth="1"/>
    <col min="102" max="102" width="13.44140625" style="360" bestFit="1" customWidth="1"/>
    <col min="103" max="131" width="9.44140625" style="360"/>
    <col min="132" max="16384" width="9.44140625" style="149"/>
  </cols>
  <sheetData>
    <row r="1" spans="1:131" s="199" customFormat="1" ht="27" customHeight="1" x14ac:dyDescent="0.25">
      <c r="A1" s="18" t="s">
        <v>1341</v>
      </c>
      <c r="G1" s="893"/>
      <c r="H1" s="893"/>
      <c r="I1" s="893"/>
      <c r="J1" s="364"/>
      <c r="K1" s="364"/>
      <c r="L1" s="200"/>
      <c r="M1" s="200"/>
      <c r="N1" s="200"/>
      <c r="O1" s="200"/>
      <c r="P1" s="200"/>
      <c r="Q1" s="200"/>
      <c r="R1" s="200"/>
      <c r="S1" s="200"/>
      <c r="T1" s="364"/>
      <c r="U1" s="200"/>
      <c r="V1" s="200"/>
      <c r="W1" s="200"/>
      <c r="X1" s="200"/>
      <c r="Y1" s="200"/>
      <c r="Z1" s="200"/>
      <c r="AA1" s="200"/>
      <c r="AB1" s="200"/>
      <c r="AC1" s="200"/>
      <c r="AD1" s="200"/>
      <c r="AE1" s="364"/>
      <c r="AF1" s="200"/>
      <c r="AG1" s="200"/>
      <c r="AH1" s="200"/>
      <c r="AI1" s="200"/>
      <c r="AJ1" s="200"/>
      <c r="AK1" s="200"/>
      <c r="AL1" s="200"/>
      <c r="AM1" s="200"/>
      <c r="AN1" s="364"/>
      <c r="AO1" s="200"/>
      <c r="AP1" s="200"/>
      <c r="AQ1" s="200"/>
      <c r="AR1" s="200"/>
      <c r="AS1" s="200"/>
      <c r="AT1" s="200"/>
      <c r="AU1" s="200"/>
      <c r="AV1" s="200"/>
      <c r="AW1" s="200"/>
      <c r="AX1" s="200"/>
      <c r="AY1" s="364"/>
      <c r="AZ1" s="200"/>
      <c r="BA1" s="200"/>
      <c r="BB1" s="200"/>
      <c r="BC1" s="200"/>
      <c r="BD1" s="200"/>
      <c r="BE1" s="200"/>
      <c r="BF1" s="200"/>
      <c r="BG1" s="200"/>
      <c r="BH1" s="364"/>
      <c r="BI1" s="200"/>
      <c r="BJ1" s="200"/>
      <c r="BK1" s="200"/>
      <c r="BL1" s="200"/>
      <c r="BM1" s="200"/>
      <c r="BN1" s="200"/>
      <c r="BO1" s="200"/>
      <c r="BP1" s="200"/>
      <c r="BQ1" s="200"/>
      <c r="BR1" s="200"/>
      <c r="BS1" s="364"/>
      <c r="BT1" s="200"/>
      <c r="BU1" s="200"/>
      <c r="BV1" s="200"/>
      <c r="BW1" s="200"/>
      <c r="BX1" s="200"/>
      <c r="BY1" s="200"/>
      <c r="BZ1" s="200"/>
      <c r="CA1" s="200"/>
      <c r="CB1" s="364"/>
      <c r="CC1" s="200"/>
      <c r="CD1" s="200"/>
      <c r="CE1" s="200"/>
      <c r="CF1" s="200"/>
      <c r="CG1" s="200"/>
      <c r="CH1" s="200"/>
      <c r="CI1" s="200"/>
      <c r="CJ1" s="200"/>
      <c r="CK1" s="200"/>
      <c r="CL1" s="200"/>
      <c r="CM1" s="200"/>
      <c r="CN1" s="200"/>
      <c r="CO1" s="200"/>
      <c r="CP1" s="200"/>
      <c r="CQ1" s="200"/>
      <c r="CR1" s="200"/>
      <c r="CS1" s="200"/>
      <c r="CT1" s="200"/>
      <c r="CU1" s="200"/>
      <c r="CV1" s="200"/>
      <c r="CW1" s="200"/>
      <c r="CX1" s="200"/>
      <c r="CY1" s="200"/>
      <c r="CZ1" s="200"/>
      <c r="DA1" s="200"/>
      <c r="DB1" s="200"/>
      <c r="DC1" s="200"/>
      <c r="DD1" s="200"/>
      <c r="DE1" s="200"/>
      <c r="DF1" s="200"/>
      <c r="DG1" s="200"/>
      <c r="DH1" s="200"/>
      <c r="DI1" s="200"/>
      <c r="DJ1" s="200"/>
      <c r="DK1" s="200"/>
      <c r="DL1" s="200"/>
      <c r="DM1" s="200"/>
      <c r="DN1" s="200"/>
      <c r="DO1" s="200"/>
      <c r="DP1" s="200"/>
      <c r="DQ1" s="200"/>
      <c r="DR1" s="200"/>
      <c r="DS1" s="200"/>
      <c r="DT1" s="200"/>
      <c r="DU1" s="200"/>
      <c r="DV1" s="200"/>
      <c r="DW1" s="200"/>
      <c r="DX1" s="200"/>
      <c r="DY1" s="200"/>
      <c r="DZ1" s="200"/>
      <c r="EA1" s="200"/>
    </row>
    <row r="2" spans="1:131" s="199" customFormat="1" ht="15.6" x14ac:dyDescent="0.25">
      <c r="A2" s="152" t="s">
        <v>26</v>
      </c>
      <c r="B2" s="445" t="str">
        <f>'Schedule 3A_Income Statement'!B2</f>
        <v>Tufts Associated Health Plans, Inc. (TAHMO)</v>
      </c>
      <c r="C2" s="446"/>
      <c r="D2" s="446"/>
      <c r="E2" s="446"/>
      <c r="F2" s="447"/>
      <c r="G2" s="473"/>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200"/>
      <c r="DK2" s="200"/>
      <c r="DL2" s="200"/>
      <c r="DM2" s="200"/>
      <c r="DN2" s="200"/>
      <c r="DO2" s="200"/>
      <c r="DP2" s="200"/>
      <c r="DQ2" s="200"/>
      <c r="DR2" s="200"/>
      <c r="DS2" s="200"/>
      <c r="DT2" s="200"/>
      <c r="DU2" s="200"/>
      <c r="DV2" s="200"/>
      <c r="DW2" s="200"/>
      <c r="DX2" s="200"/>
      <c r="DY2" s="200"/>
      <c r="DZ2" s="200"/>
      <c r="EA2" s="200"/>
    </row>
    <row r="3" spans="1:131" s="199" customFormat="1" ht="15.6" x14ac:dyDescent="0.25">
      <c r="A3" s="152" t="s">
        <v>0</v>
      </c>
      <c r="B3" s="580" t="str">
        <f>'Schedule 3A_Income Statement'!B3</f>
        <v>01/01/2024 - 12/31/2024</v>
      </c>
      <c r="C3" s="581"/>
      <c r="D3" s="581"/>
      <c r="E3" s="581"/>
      <c r="F3" s="582"/>
      <c r="G3" s="473"/>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0"/>
      <c r="AM3" s="200"/>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200"/>
      <c r="BZ3" s="200"/>
      <c r="CA3" s="200"/>
      <c r="CB3" s="200"/>
      <c r="CC3" s="200"/>
      <c r="CD3" s="200"/>
      <c r="CE3" s="200"/>
      <c r="CF3" s="200"/>
      <c r="CG3" s="200"/>
      <c r="CH3" s="200"/>
      <c r="CI3" s="200"/>
      <c r="CJ3" s="200"/>
      <c r="CK3" s="200"/>
      <c r="CL3" s="200"/>
      <c r="CM3" s="200"/>
      <c r="CN3" s="200"/>
      <c r="CO3" s="200"/>
      <c r="CP3" s="200"/>
      <c r="CQ3" s="200"/>
      <c r="CR3" s="200"/>
      <c r="CS3" s="200"/>
      <c r="CT3" s="200"/>
      <c r="CU3" s="200"/>
      <c r="CV3" s="200"/>
      <c r="CW3" s="200"/>
      <c r="CX3" s="200"/>
      <c r="CY3" s="200"/>
      <c r="CZ3" s="200"/>
      <c r="DA3" s="200"/>
      <c r="DB3" s="200"/>
      <c r="DC3" s="200"/>
      <c r="DD3" s="200"/>
      <c r="DE3" s="200"/>
      <c r="DF3" s="200"/>
      <c r="DG3" s="200"/>
      <c r="DH3" s="200"/>
      <c r="DI3" s="200"/>
      <c r="DJ3" s="200"/>
      <c r="DK3" s="200"/>
      <c r="DL3" s="200"/>
      <c r="DM3" s="200"/>
      <c r="DN3" s="200"/>
      <c r="DO3" s="200"/>
      <c r="DP3" s="200"/>
      <c r="DQ3" s="200"/>
      <c r="DR3" s="200"/>
      <c r="DS3" s="200"/>
      <c r="DT3" s="200"/>
      <c r="DU3" s="200"/>
      <c r="DV3" s="200"/>
      <c r="DW3" s="200"/>
      <c r="DX3" s="200"/>
      <c r="DY3" s="200"/>
      <c r="DZ3" s="200"/>
      <c r="EA3" s="200"/>
    </row>
    <row r="4" spans="1:131" s="199" customFormat="1" ht="15.6" x14ac:dyDescent="0.25">
      <c r="A4" s="152" t="s">
        <v>27</v>
      </c>
      <c r="B4" s="449">
        <f>'Schedule 3A_Income Statement'!B4</f>
        <v>45657</v>
      </c>
      <c r="C4" s="446"/>
      <c r="D4" s="446"/>
      <c r="E4" s="446"/>
      <c r="F4" s="447"/>
      <c r="G4" s="473"/>
      <c r="H4" s="200"/>
      <c r="I4" s="200"/>
      <c r="J4" s="200"/>
      <c r="K4" s="200"/>
      <c r="L4" s="200"/>
      <c r="M4" s="200"/>
      <c r="N4" s="200"/>
      <c r="O4" s="200"/>
      <c r="P4" s="200"/>
      <c r="Q4" s="200"/>
      <c r="R4" s="200"/>
      <c r="S4" s="200"/>
      <c r="T4" s="200"/>
      <c r="U4" s="200"/>
      <c r="V4" s="200"/>
      <c r="W4" s="200"/>
      <c r="X4" s="200"/>
      <c r="Y4" s="200"/>
      <c r="Z4" s="200"/>
      <c r="AA4" s="200"/>
      <c r="AB4" s="200"/>
      <c r="AC4" s="200"/>
      <c r="AD4" s="200"/>
      <c r="AE4" s="200"/>
      <c r="AF4" s="200"/>
      <c r="AG4" s="200"/>
      <c r="AH4" s="200"/>
      <c r="AI4" s="200"/>
      <c r="AJ4" s="200"/>
      <c r="AK4" s="200"/>
      <c r="AL4" s="200"/>
      <c r="AM4" s="200"/>
      <c r="AN4" s="200"/>
      <c r="AO4" s="200"/>
      <c r="AP4" s="200"/>
      <c r="AQ4" s="200"/>
      <c r="AR4" s="200"/>
      <c r="AS4" s="200"/>
      <c r="AT4" s="200"/>
      <c r="AU4" s="200"/>
      <c r="AV4" s="200"/>
      <c r="AW4" s="200"/>
      <c r="AX4" s="200"/>
      <c r="AY4" s="200"/>
      <c r="AZ4" s="200"/>
      <c r="BA4" s="200"/>
      <c r="BB4" s="200"/>
      <c r="BC4" s="200"/>
      <c r="BD4" s="200"/>
      <c r="BE4" s="200"/>
      <c r="BF4" s="200"/>
      <c r="BG4" s="200"/>
      <c r="BH4" s="200"/>
      <c r="BI4" s="200"/>
      <c r="BJ4" s="200"/>
      <c r="BK4" s="200"/>
      <c r="BL4" s="200"/>
      <c r="BM4" s="200"/>
      <c r="BN4" s="200"/>
      <c r="BO4" s="200"/>
      <c r="BP4" s="200"/>
      <c r="BQ4" s="200"/>
      <c r="BR4" s="200"/>
      <c r="BS4" s="200"/>
      <c r="BT4" s="200"/>
      <c r="BU4" s="200"/>
      <c r="BV4" s="200"/>
      <c r="BW4" s="200"/>
      <c r="BX4" s="200"/>
      <c r="BY4" s="200"/>
      <c r="BZ4" s="200"/>
      <c r="CA4" s="200"/>
      <c r="CB4" s="200"/>
      <c r="CC4" s="200"/>
      <c r="CD4" s="200"/>
      <c r="CE4" s="200"/>
      <c r="CF4" s="200"/>
      <c r="CG4" s="200"/>
      <c r="CH4" s="200"/>
      <c r="CI4" s="200"/>
      <c r="CJ4" s="200"/>
      <c r="CK4" s="200"/>
      <c r="CL4" s="200"/>
      <c r="CM4" s="200"/>
      <c r="CN4" s="200"/>
      <c r="CO4" s="200"/>
      <c r="CP4" s="200"/>
      <c r="CQ4" s="200"/>
      <c r="CR4" s="200"/>
      <c r="CS4" s="200"/>
      <c r="CT4" s="200"/>
      <c r="CU4" s="200"/>
      <c r="CV4" s="200"/>
      <c r="CW4" s="200"/>
      <c r="CX4" s="200"/>
      <c r="CY4" s="200"/>
      <c r="CZ4" s="200"/>
      <c r="DA4" s="200"/>
      <c r="DB4" s="200"/>
      <c r="DC4" s="200"/>
      <c r="DD4" s="200"/>
      <c r="DE4" s="200"/>
      <c r="DF4" s="200"/>
      <c r="DG4" s="200"/>
      <c r="DH4" s="200"/>
      <c r="DI4" s="200"/>
      <c r="DJ4" s="200"/>
      <c r="DK4" s="200"/>
      <c r="DL4" s="200"/>
      <c r="DM4" s="200"/>
      <c r="DN4" s="200"/>
      <c r="DO4" s="200"/>
      <c r="DP4" s="200"/>
      <c r="DQ4" s="200"/>
      <c r="DR4" s="200"/>
      <c r="DS4" s="200"/>
      <c r="DT4" s="200"/>
      <c r="DU4" s="200"/>
      <c r="DV4" s="200"/>
      <c r="DW4" s="200"/>
      <c r="DX4" s="200"/>
      <c r="DY4" s="200"/>
      <c r="DZ4" s="200"/>
      <c r="EA4" s="200"/>
    </row>
    <row r="5" spans="1:131" s="199" customFormat="1" ht="15.6" x14ac:dyDescent="0.25">
      <c r="A5" s="152" t="s">
        <v>28</v>
      </c>
      <c r="B5" s="445" t="str">
        <f>'Schedule 3A_Income Statement'!B5</f>
        <v>Roshni Parikh</v>
      </c>
      <c r="C5" s="446"/>
      <c r="D5" s="446"/>
      <c r="E5" s="446"/>
      <c r="F5" s="447"/>
      <c r="G5" s="473"/>
      <c r="H5" s="200"/>
      <c r="I5" s="200"/>
      <c r="J5" s="200"/>
      <c r="K5" s="200"/>
      <c r="L5" s="200"/>
      <c r="M5" s="200"/>
      <c r="N5" s="200"/>
      <c r="O5" s="200"/>
      <c r="P5" s="200"/>
      <c r="Q5" s="200"/>
      <c r="R5" s="200"/>
      <c r="S5" s="200"/>
      <c r="T5" s="200"/>
      <c r="U5" s="200"/>
      <c r="V5" s="200"/>
      <c r="W5" s="200"/>
      <c r="X5" s="200"/>
      <c r="Y5" s="200"/>
      <c r="Z5" s="200"/>
      <c r="AA5" s="200"/>
      <c r="AB5" s="200"/>
      <c r="AC5" s="200"/>
      <c r="AD5" s="200"/>
      <c r="AE5" s="200"/>
      <c r="AF5" s="200"/>
      <c r="AG5" s="200"/>
      <c r="AH5" s="200"/>
      <c r="AI5" s="200"/>
      <c r="AJ5" s="200"/>
      <c r="AK5" s="200"/>
      <c r="AL5" s="200"/>
      <c r="AM5" s="200"/>
      <c r="AN5" s="200"/>
      <c r="AO5" s="200"/>
      <c r="AP5" s="200"/>
      <c r="AQ5" s="200"/>
      <c r="AR5" s="200"/>
      <c r="AS5" s="200"/>
      <c r="AT5" s="200"/>
      <c r="AU5" s="200"/>
      <c r="AV5" s="200"/>
      <c r="AW5" s="200"/>
      <c r="AX5" s="200"/>
      <c r="AY5" s="200"/>
      <c r="AZ5" s="200"/>
      <c r="BA5" s="200"/>
      <c r="BB5" s="200"/>
      <c r="BC5" s="200"/>
      <c r="BD5" s="200"/>
      <c r="BE5" s="200"/>
      <c r="BF5" s="200"/>
      <c r="BG5" s="200"/>
      <c r="BH5" s="200"/>
      <c r="BI5" s="200"/>
      <c r="BJ5" s="200"/>
      <c r="BK5" s="200"/>
      <c r="BL5" s="200"/>
      <c r="BM5" s="200"/>
      <c r="BN5" s="200"/>
      <c r="BO5" s="200"/>
      <c r="BP5" s="200"/>
      <c r="BQ5" s="200"/>
      <c r="BR5" s="200"/>
      <c r="BS5" s="200"/>
      <c r="BT5" s="200"/>
      <c r="BU5" s="200"/>
      <c r="BV5" s="200"/>
      <c r="BW5" s="200"/>
      <c r="BX5" s="200"/>
      <c r="BY5" s="200"/>
      <c r="BZ5" s="200"/>
      <c r="CA5" s="200"/>
      <c r="CB5" s="200"/>
      <c r="CC5" s="200"/>
      <c r="CD5" s="200"/>
      <c r="CE5" s="200"/>
      <c r="CF5" s="200"/>
      <c r="CG5" s="200"/>
      <c r="CH5" s="200"/>
      <c r="CI5" s="200"/>
      <c r="CJ5" s="200"/>
      <c r="CK5" s="200"/>
      <c r="CL5" s="200"/>
      <c r="CM5" s="200"/>
      <c r="CN5" s="200"/>
      <c r="CO5" s="200"/>
      <c r="CP5" s="200"/>
      <c r="CQ5" s="200"/>
      <c r="CR5" s="200"/>
      <c r="CS5" s="200"/>
      <c r="CT5" s="200"/>
      <c r="CU5" s="200"/>
      <c r="CV5" s="200"/>
      <c r="CW5" s="200"/>
      <c r="CX5" s="200"/>
      <c r="CY5" s="200"/>
      <c r="CZ5" s="200"/>
      <c r="DA5" s="200"/>
      <c r="DB5" s="200"/>
      <c r="DC5" s="200"/>
      <c r="DD5" s="200"/>
      <c r="DE5" s="200"/>
      <c r="DF5" s="200"/>
      <c r="DG5" s="200"/>
      <c r="DH5" s="200"/>
      <c r="DI5" s="200"/>
      <c r="DJ5" s="200"/>
      <c r="DK5" s="200"/>
      <c r="DL5" s="200"/>
      <c r="DM5" s="200"/>
      <c r="DN5" s="200"/>
      <c r="DO5" s="200"/>
      <c r="DP5" s="200"/>
      <c r="DQ5" s="200"/>
      <c r="DR5" s="200"/>
      <c r="DS5" s="200"/>
      <c r="DT5" s="200"/>
      <c r="DU5" s="200"/>
      <c r="DV5" s="200"/>
      <c r="DW5" s="200"/>
      <c r="DX5" s="200"/>
      <c r="DY5" s="200"/>
      <c r="DZ5" s="200"/>
      <c r="EA5" s="200"/>
    </row>
    <row r="6" spans="1:131" s="199" customFormat="1" ht="15.6" x14ac:dyDescent="0.25">
      <c r="A6" s="152" t="s">
        <v>29</v>
      </c>
      <c r="B6" s="449">
        <f>'Schedule 3A_Income Statement'!B6</f>
        <v>45657</v>
      </c>
      <c r="C6" s="446"/>
      <c r="D6" s="446"/>
      <c r="E6" s="446"/>
      <c r="F6" s="447"/>
      <c r="G6" s="473"/>
      <c r="H6" s="200"/>
      <c r="I6" s="200"/>
      <c r="J6" s="200"/>
      <c r="K6" s="200"/>
      <c r="L6" s="200"/>
      <c r="M6" s="200"/>
      <c r="N6" s="200"/>
      <c r="O6" s="200"/>
      <c r="P6" s="200"/>
      <c r="Q6" s="200"/>
      <c r="R6" s="200"/>
      <c r="S6" s="200"/>
      <c r="T6" s="200"/>
      <c r="U6" s="200"/>
      <c r="V6" s="200"/>
      <c r="W6" s="200"/>
      <c r="X6" s="200"/>
      <c r="Y6" s="200"/>
      <c r="Z6" s="200"/>
      <c r="AA6" s="200"/>
      <c r="AB6" s="200"/>
      <c r="AC6" s="200"/>
      <c r="AD6" s="200"/>
      <c r="AE6" s="200"/>
      <c r="AF6" s="200"/>
      <c r="AG6" s="200"/>
      <c r="AH6" s="200"/>
      <c r="AI6" s="200"/>
      <c r="AJ6" s="200"/>
      <c r="AK6" s="200"/>
      <c r="AL6" s="200"/>
      <c r="AM6" s="200"/>
      <c r="AN6" s="200"/>
      <c r="AO6" s="200"/>
      <c r="AP6" s="200"/>
      <c r="AQ6" s="200"/>
      <c r="AR6" s="200"/>
      <c r="AS6" s="200"/>
      <c r="AT6" s="200"/>
      <c r="AU6" s="200"/>
      <c r="AV6" s="200"/>
      <c r="AW6" s="200"/>
      <c r="AX6" s="200"/>
      <c r="AY6" s="200"/>
      <c r="AZ6" s="200"/>
      <c r="BA6" s="200"/>
      <c r="BB6" s="200"/>
      <c r="BC6" s="200"/>
      <c r="BD6" s="200"/>
      <c r="BE6" s="200"/>
      <c r="BF6" s="200"/>
      <c r="BG6" s="200"/>
      <c r="BH6" s="200"/>
      <c r="BI6" s="200"/>
      <c r="BJ6" s="200"/>
      <c r="BK6" s="200"/>
      <c r="BL6" s="200"/>
      <c r="BM6" s="200"/>
      <c r="BN6" s="200"/>
      <c r="BO6" s="200"/>
      <c r="BP6" s="200"/>
      <c r="BQ6" s="200"/>
      <c r="BR6" s="200"/>
      <c r="BS6" s="200"/>
      <c r="BT6" s="200"/>
      <c r="BU6" s="200"/>
      <c r="BV6" s="200"/>
      <c r="BW6" s="200"/>
      <c r="BX6" s="200"/>
      <c r="BY6" s="200"/>
      <c r="BZ6" s="200"/>
      <c r="CA6" s="200"/>
      <c r="CB6" s="200"/>
      <c r="CC6" s="200"/>
      <c r="CD6" s="200"/>
      <c r="CE6" s="200"/>
      <c r="CF6" s="200"/>
      <c r="CG6" s="200"/>
      <c r="CH6" s="200"/>
      <c r="CI6" s="200"/>
      <c r="CJ6" s="200"/>
      <c r="CK6" s="200"/>
      <c r="CL6" s="200"/>
      <c r="CM6" s="200"/>
      <c r="CN6" s="200"/>
      <c r="CO6" s="200"/>
      <c r="CP6" s="200"/>
      <c r="CQ6" s="200"/>
      <c r="CR6" s="200"/>
      <c r="CS6" s="200"/>
      <c r="CT6" s="200"/>
      <c r="CU6" s="200"/>
      <c r="CV6" s="200"/>
      <c r="CW6" s="200"/>
      <c r="CX6" s="200"/>
      <c r="CY6" s="200"/>
      <c r="CZ6" s="200"/>
      <c r="DA6" s="200"/>
      <c r="DB6" s="200"/>
      <c r="DC6" s="200"/>
      <c r="DD6" s="200"/>
      <c r="DE6" s="200"/>
      <c r="DF6" s="200"/>
      <c r="DG6" s="200"/>
      <c r="DH6" s="200"/>
      <c r="DI6" s="200"/>
      <c r="DJ6" s="200"/>
      <c r="DK6" s="200"/>
      <c r="DL6" s="200"/>
      <c r="DM6" s="200"/>
      <c r="DN6" s="200"/>
      <c r="DO6" s="200"/>
      <c r="DP6" s="200"/>
      <c r="DQ6" s="200"/>
      <c r="DR6" s="200"/>
      <c r="DS6" s="200"/>
      <c r="DT6" s="200"/>
      <c r="DU6" s="200"/>
      <c r="DV6" s="200"/>
      <c r="DW6" s="200"/>
      <c r="DX6" s="200"/>
      <c r="DY6" s="200"/>
      <c r="DZ6" s="200"/>
      <c r="EA6" s="200"/>
    </row>
    <row r="7" spans="1:131" s="199" customFormat="1" x14ac:dyDescent="0.25">
      <c r="A7" s="256" t="s">
        <v>543</v>
      </c>
      <c r="B7" s="201"/>
      <c r="G7" s="200"/>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0"/>
      <c r="AL7" s="200"/>
      <c r="AM7" s="200"/>
      <c r="AN7" s="200"/>
      <c r="AO7" s="200"/>
      <c r="AP7" s="200"/>
      <c r="AQ7" s="200"/>
      <c r="AR7" s="200"/>
      <c r="AS7" s="200"/>
      <c r="AT7" s="200"/>
      <c r="AU7" s="200"/>
      <c r="AV7" s="200"/>
      <c r="AW7" s="200"/>
      <c r="AX7" s="200"/>
      <c r="AY7" s="200"/>
      <c r="AZ7" s="200"/>
      <c r="BA7" s="200"/>
      <c r="BB7" s="200"/>
      <c r="BC7" s="200"/>
      <c r="BD7" s="200"/>
      <c r="BE7" s="200"/>
      <c r="BF7" s="200"/>
      <c r="BG7" s="200"/>
      <c r="BH7" s="200"/>
      <c r="BI7" s="200"/>
      <c r="BJ7" s="200"/>
      <c r="BK7" s="200"/>
      <c r="BL7" s="200"/>
      <c r="BM7" s="200"/>
      <c r="BN7" s="200"/>
      <c r="BO7" s="200"/>
      <c r="BP7" s="200"/>
      <c r="BQ7" s="200"/>
      <c r="BR7" s="200"/>
      <c r="BS7" s="200"/>
      <c r="BT7" s="200"/>
      <c r="BU7" s="200"/>
      <c r="BV7" s="200"/>
      <c r="BW7" s="200"/>
      <c r="BX7" s="200"/>
      <c r="BY7" s="200"/>
      <c r="BZ7" s="200"/>
      <c r="CA7" s="200"/>
      <c r="CB7" s="200"/>
      <c r="CC7" s="200"/>
      <c r="CD7" s="200"/>
      <c r="CE7" s="200"/>
      <c r="CF7" s="200"/>
      <c r="CG7" s="200"/>
      <c r="CH7" s="200"/>
      <c r="CI7" s="200"/>
      <c r="CJ7" s="200"/>
      <c r="CK7" s="200"/>
      <c r="CL7" s="200"/>
      <c r="CM7" s="200"/>
      <c r="CN7" s="200"/>
      <c r="CO7" s="200"/>
      <c r="CP7" s="200"/>
      <c r="CQ7" s="200"/>
      <c r="CR7" s="200"/>
      <c r="CS7" s="200"/>
      <c r="CT7" s="200"/>
      <c r="CU7" s="200"/>
      <c r="CV7" s="200"/>
      <c r="CW7" s="200"/>
      <c r="CX7" s="200"/>
      <c r="CY7" s="200"/>
      <c r="CZ7" s="200"/>
      <c r="DA7" s="200"/>
      <c r="DB7" s="200"/>
      <c r="DC7" s="200"/>
      <c r="DD7" s="200"/>
      <c r="DE7" s="200"/>
      <c r="DF7" s="200"/>
      <c r="DG7" s="200"/>
      <c r="DH7" s="200"/>
      <c r="DI7" s="200"/>
      <c r="DJ7" s="200"/>
      <c r="DK7" s="200"/>
      <c r="DL7" s="200"/>
      <c r="DM7" s="200"/>
      <c r="DN7" s="200"/>
      <c r="DO7" s="200"/>
      <c r="DP7" s="200"/>
      <c r="DQ7" s="200"/>
      <c r="DR7" s="200"/>
      <c r="DS7" s="200"/>
      <c r="DT7" s="200"/>
      <c r="DU7" s="200"/>
      <c r="DV7" s="200"/>
      <c r="DW7" s="200"/>
      <c r="DX7" s="200"/>
      <c r="DY7" s="200"/>
      <c r="DZ7" s="200"/>
      <c r="EA7" s="200"/>
    </row>
    <row r="8" spans="1:131" s="199" customFormat="1" x14ac:dyDescent="0.25">
      <c r="A8" s="256"/>
      <c r="B8" s="201"/>
      <c r="G8" s="200"/>
      <c r="H8" s="200"/>
      <c r="I8" s="200"/>
      <c r="J8" s="200"/>
      <c r="K8" s="200"/>
      <c r="L8" s="200"/>
      <c r="M8" s="200"/>
      <c r="N8" s="200"/>
      <c r="O8" s="200"/>
      <c r="P8" s="200"/>
      <c r="Q8" s="200"/>
      <c r="R8" s="200"/>
      <c r="S8" s="200"/>
      <c r="T8" s="200"/>
      <c r="U8" s="200"/>
      <c r="V8" s="387"/>
      <c r="W8" s="200"/>
      <c r="X8" s="200"/>
      <c r="Y8" s="200"/>
      <c r="Z8" s="200"/>
      <c r="AA8" s="200"/>
      <c r="AB8" s="200"/>
      <c r="AC8" s="200"/>
      <c r="AD8" s="200"/>
      <c r="AE8" s="200"/>
      <c r="AF8" s="200"/>
      <c r="AG8" s="200"/>
      <c r="AH8" s="200"/>
      <c r="AI8" s="200"/>
      <c r="AJ8" s="200"/>
      <c r="AK8" s="200"/>
      <c r="AL8" s="200"/>
      <c r="AM8" s="200"/>
      <c r="AN8" s="200"/>
      <c r="AO8" s="200"/>
      <c r="AP8" s="387"/>
      <c r="AQ8" s="200"/>
      <c r="AR8" s="200"/>
      <c r="AS8" s="200"/>
      <c r="AT8" s="200"/>
      <c r="AU8" s="200"/>
      <c r="AV8" s="200"/>
      <c r="AW8" s="200"/>
      <c r="AX8" s="200"/>
      <c r="AY8" s="200"/>
      <c r="AZ8" s="200"/>
      <c r="BA8" s="200"/>
      <c r="BB8" s="200"/>
      <c r="BC8" s="200"/>
      <c r="BD8" s="200"/>
      <c r="BE8" s="200"/>
      <c r="BF8" s="200"/>
      <c r="BG8" s="200"/>
      <c r="BH8" s="200"/>
      <c r="BI8" s="200"/>
      <c r="BJ8" s="200"/>
      <c r="BK8" s="200"/>
      <c r="BL8" s="200"/>
      <c r="BM8" s="200"/>
      <c r="BN8" s="200"/>
      <c r="BO8" s="200"/>
      <c r="BP8" s="200"/>
      <c r="BQ8" s="200"/>
      <c r="BR8" s="200"/>
      <c r="BS8" s="200"/>
      <c r="BT8" s="200"/>
      <c r="BU8" s="200"/>
      <c r="BV8" s="200"/>
      <c r="BW8" s="200"/>
      <c r="BX8" s="200"/>
      <c r="BY8" s="200"/>
      <c r="BZ8" s="200"/>
      <c r="CA8" s="200"/>
      <c r="CB8" s="200"/>
      <c r="CC8" s="200"/>
      <c r="CD8" s="200"/>
      <c r="CE8" s="200"/>
      <c r="CF8" s="200"/>
      <c r="CG8" s="200"/>
      <c r="CH8" s="200"/>
      <c r="CI8" s="200"/>
      <c r="CJ8" s="200"/>
      <c r="CK8" s="200"/>
      <c r="CL8" s="200"/>
      <c r="CM8" s="200"/>
      <c r="CN8" s="200"/>
      <c r="CO8" s="200"/>
      <c r="CP8" s="200"/>
      <c r="CQ8" s="200"/>
      <c r="CR8" s="200"/>
      <c r="CS8" s="200"/>
      <c r="CT8" s="200"/>
      <c r="CU8" s="200"/>
      <c r="CV8" s="200"/>
      <c r="CW8" s="200"/>
      <c r="CX8" s="200"/>
      <c r="CY8" s="200"/>
      <c r="CZ8" s="200"/>
      <c r="DA8" s="200"/>
      <c r="DB8" s="200"/>
      <c r="DC8" s="200"/>
      <c r="DD8" s="200"/>
      <c r="DE8" s="200"/>
      <c r="DF8" s="200"/>
      <c r="DG8" s="200"/>
      <c r="DH8" s="200"/>
      <c r="DI8" s="200"/>
      <c r="DJ8" s="200"/>
      <c r="DK8" s="200"/>
      <c r="DL8" s="200"/>
      <c r="DM8" s="200"/>
      <c r="DN8" s="200"/>
      <c r="DO8" s="200"/>
      <c r="DP8" s="200"/>
      <c r="DQ8" s="200"/>
      <c r="DR8" s="200"/>
      <c r="DS8" s="200"/>
      <c r="DT8" s="200"/>
      <c r="DU8" s="200"/>
      <c r="DV8" s="200"/>
      <c r="DW8" s="200"/>
      <c r="DX8" s="200"/>
      <c r="DY8" s="200"/>
      <c r="DZ8" s="200"/>
      <c r="EA8" s="200"/>
    </row>
    <row r="9" spans="1:131" s="199" customFormat="1" x14ac:dyDescent="0.25">
      <c r="A9" s="256"/>
      <c r="B9" s="201"/>
      <c r="G9" s="200"/>
      <c r="H9" s="200"/>
      <c r="I9" s="200"/>
      <c r="J9" s="200"/>
      <c r="K9" s="200"/>
      <c r="L9" s="200"/>
      <c r="M9" s="200"/>
      <c r="N9" s="200"/>
      <c r="O9" s="200"/>
      <c r="P9" s="200"/>
      <c r="Q9" s="200"/>
      <c r="R9" s="200"/>
      <c r="S9" s="200"/>
      <c r="T9" s="200"/>
      <c r="U9" s="200"/>
      <c r="V9" s="387"/>
      <c r="W9" s="200"/>
      <c r="X9" s="200"/>
      <c r="Y9" s="200"/>
      <c r="Z9" s="200"/>
      <c r="AA9" s="200"/>
      <c r="AB9" s="200"/>
      <c r="AC9" s="200"/>
      <c r="AD9" s="200"/>
      <c r="AE9" s="200"/>
      <c r="AF9" s="200"/>
      <c r="AG9" s="200"/>
      <c r="AH9" s="200"/>
      <c r="AI9" s="200"/>
      <c r="AJ9" s="200"/>
      <c r="AK9" s="200"/>
      <c r="AL9" s="200"/>
      <c r="AM9" s="200"/>
      <c r="AN9" s="200"/>
      <c r="AO9" s="200"/>
      <c r="AP9" s="387"/>
      <c r="AQ9" s="200"/>
      <c r="AR9" s="200"/>
      <c r="AS9" s="200"/>
      <c r="AT9" s="200"/>
      <c r="AU9" s="200"/>
      <c r="AV9" s="200"/>
      <c r="AW9" s="200"/>
      <c r="AX9" s="200"/>
      <c r="AY9" s="200"/>
      <c r="AZ9" s="200"/>
      <c r="BA9" s="200"/>
      <c r="BB9" s="200"/>
      <c r="BC9" s="200"/>
      <c r="BD9" s="200"/>
      <c r="BE9" s="200"/>
      <c r="BF9" s="200"/>
      <c r="BG9" s="200"/>
      <c r="BH9" s="200"/>
      <c r="BI9" s="200"/>
      <c r="BJ9" s="200"/>
      <c r="BK9" s="200"/>
      <c r="BL9" s="200"/>
      <c r="BM9" s="200"/>
      <c r="BN9" s="200"/>
      <c r="BO9" s="200"/>
      <c r="BP9" s="200"/>
      <c r="BQ9" s="200"/>
      <c r="BR9" s="200"/>
      <c r="BS9" s="200"/>
      <c r="BT9" s="200"/>
      <c r="BU9" s="200"/>
      <c r="BV9" s="200"/>
      <c r="BW9" s="200"/>
      <c r="BX9" s="200"/>
      <c r="BY9" s="200"/>
      <c r="BZ9" s="200"/>
      <c r="CA9" s="200"/>
      <c r="CB9" s="200"/>
      <c r="CC9" s="200"/>
      <c r="CD9" s="200"/>
      <c r="CE9" s="200"/>
      <c r="CF9" s="200"/>
      <c r="CG9" s="200"/>
      <c r="CH9" s="200"/>
      <c r="CI9" s="200"/>
      <c r="CJ9" s="200"/>
      <c r="CK9" s="200"/>
      <c r="CL9" s="200"/>
      <c r="CM9" s="200"/>
      <c r="CN9" s="200"/>
      <c r="CO9" s="200"/>
      <c r="CP9" s="200"/>
      <c r="CQ9" s="200"/>
      <c r="CR9" s="200"/>
      <c r="CS9" s="200"/>
      <c r="CT9" s="200"/>
      <c r="CU9" s="200"/>
      <c r="CV9" s="200"/>
      <c r="CW9" s="200"/>
      <c r="CX9" s="200"/>
      <c r="CY9" s="200"/>
      <c r="CZ9" s="200"/>
      <c r="DA9" s="200"/>
      <c r="DB9" s="200"/>
      <c r="DC9" s="200"/>
      <c r="DD9" s="200"/>
      <c r="DE9" s="200"/>
      <c r="DF9" s="200"/>
      <c r="DG9" s="200"/>
      <c r="DH9" s="200"/>
      <c r="DI9" s="200"/>
      <c r="DJ9" s="200"/>
      <c r="DK9" s="200"/>
      <c r="DL9" s="200"/>
      <c r="DM9" s="200"/>
      <c r="DN9" s="200"/>
      <c r="DO9" s="200"/>
      <c r="DP9" s="200"/>
      <c r="DQ9" s="200"/>
      <c r="DR9" s="200"/>
      <c r="DS9" s="200"/>
      <c r="DT9" s="200"/>
      <c r="DU9" s="200"/>
      <c r="DV9" s="200"/>
      <c r="DW9" s="200"/>
      <c r="DX9" s="200"/>
      <c r="DY9" s="200"/>
      <c r="DZ9" s="200"/>
      <c r="EA9" s="200"/>
    </row>
    <row r="10" spans="1:131" s="199" customFormat="1" ht="15.75" customHeight="1" x14ac:dyDescent="0.25">
      <c r="A10" s="452"/>
      <c r="B10" s="885" t="s">
        <v>269</v>
      </c>
      <c r="C10" s="453" t="s">
        <v>273</v>
      </c>
      <c r="D10" s="454"/>
      <c r="E10" s="454"/>
      <c r="F10" s="454"/>
      <c r="G10" s="454"/>
      <c r="H10" s="454"/>
      <c r="I10" s="454"/>
      <c r="J10" s="454"/>
      <c r="K10" s="454"/>
      <c r="L10" s="454"/>
      <c r="M10" s="454"/>
      <c r="N10" s="454"/>
      <c r="O10" s="454"/>
      <c r="P10" s="454"/>
      <c r="Q10" s="454"/>
      <c r="R10" s="454"/>
      <c r="S10" s="454"/>
      <c r="T10" s="454"/>
      <c r="U10" s="455"/>
      <c r="V10" s="885" t="s">
        <v>269</v>
      </c>
      <c r="W10" s="453" t="s">
        <v>1530</v>
      </c>
      <c r="X10" s="454"/>
      <c r="Y10" s="454"/>
      <c r="Z10" s="454"/>
      <c r="AA10" s="454"/>
      <c r="AB10" s="454"/>
      <c r="AC10" s="454"/>
      <c r="AD10" s="454"/>
      <c r="AE10" s="454"/>
      <c r="AF10" s="454"/>
      <c r="AG10" s="454"/>
      <c r="AH10" s="454"/>
      <c r="AI10" s="454"/>
      <c r="AJ10" s="454"/>
      <c r="AK10" s="454"/>
      <c r="AL10" s="454"/>
      <c r="AM10" s="454"/>
      <c r="AN10" s="454"/>
      <c r="AO10" s="455"/>
      <c r="AP10" s="885" t="s">
        <v>269</v>
      </c>
      <c r="AQ10" s="453" t="s">
        <v>271</v>
      </c>
      <c r="AR10" s="454"/>
      <c r="AS10" s="454"/>
      <c r="AT10" s="454"/>
      <c r="AU10" s="454"/>
      <c r="AV10" s="454"/>
      <c r="AW10" s="454"/>
      <c r="AX10" s="454"/>
      <c r="AY10" s="454"/>
      <c r="AZ10" s="454"/>
      <c r="BA10" s="454"/>
      <c r="BB10" s="454"/>
      <c r="BC10" s="454"/>
      <c r="BD10" s="454"/>
      <c r="BE10" s="454"/>
      <c r="BF10" s="454"/>
      <c r="BG10" s="454"/>
      <c r="BH10" s="454"/>
      <c r="BI10" s="454"/>
      <c r="BJ10" s="885" t="s">
        <v>269</v>
      </c>
      <c r="BK10" s="454" t="s">
        <v>270</v>
      </c>
      <c r="BL10" s="454"/>
      <c r="BM10" s="454"/>
      <c r="BN10" s="454"/>
      <c r="BO10" s="454"/>
      <c r="BP10" s="454"/>
      <c r="BQ10" s="454"/>
      <c r="BR10" s="454"/>
      <c r="BS10" s="454"/>
      <c r="BT10" s="454"/>
      <c r="BU10" s="454"/>
      <c r="BV10" s="454"/>
      <c r="BW10" s="454"/>
      <c r="BX10" s="454"/>
      <c r="BY10" s="454"/>
      <c r="BZ10" s="454"/>
      <c r="CA10" s="454"/>
      <c r="CB10" s="454"/>
      <c r="CC10" s="454"/>
      <c r="CD10" s="885" t="s">
        <v>269</v>
      </c>
      <c r="CE10" s="757"/>
      <c r="CF10" s="758"/>
      <c r="CG10" s="758"/>
      <c r="CH10" s="759"/>
      <c r="CI10" s="890" t="s">
        <v>268</v>
      </c>
      <c r="CJ10" s="757"/>
      <c r="CK10" s="758"/>
      <c r="CL10" s="758"/>
      <c r="CM10" s="759"/>
      <c r="CN10" s="890" t="s">
        <v>268</v>
      </c>
      <c r="CO10" s="757"/>
      <c r="CP10" s="758"/>
      <c r="CQ10" s="758"/>
      <c r="CR10" s="759"/>
      <c r="CS10" s="890" t="s">
        <v>268</v>
      </c>
      <c r="CT10" s="200"/>
      <c r="CU10" s="200"/>
      <c r="CV10" s="200"/>
      <c r="CW10" s="200"/>
      <c r="CX10" s="200"/>
      <c r="CY10" s="200"/>
      <c r="CZ10" s="200"/>
      <c r="DA10" s="200"/>
      <c r="DB10" s="200"/>
      <c r="DC10" s="200"/>
      <c r="DD10" s="200"/>
      <c r="DE10" s="200"/>
      <c r="DF10" s="200"/>
      <c r="DG10" s="200"/>
      <c r="DH10" s="200"/>
      <c r="DI10" s="200"/>
      <c r="DJ10" s="200"/>
      <c r="DK10" s="200"/>
      <c r="DL10" s="200"/>
      <c r="DM10" s="200"/>
      <c r="DN10" s="200"/>
      <c r="DO10" s="200"/>
      <c r="DP10" s="200"/>
      <c r="DQ10" s="200"/>
      <c r="DR10" s="200"/>
      <c r="DS10" s="200"/>
      <c r="DT10" s="200"/>
      <c r="DU10" s="200"/>
      <c r="DV10" s="200"/>
      <c r="DW10" s="200"/>
      <c r="DX10" s="200"/>
      <c r="DY10" s="200"/>
      <c r="DZ10" s="200"/>
      <c r="EA10" s="200"/>
    </row>
    <row r="11" spans="1:131" s="199" customFormat="1" ht="32.1" customHeight="1" x14ac:dyDescent="0.25">
      <c r="A11" s="151" t="s">
        <v>267</v>
      </c>
      <c r="B11" s="885"/>
      <c r="C11" s="453" t="s">
        <v>266</v>
      </c>
      <c r="D11" s="454"/>
      <c r="E11" s="454"/>
      <c r="F11" s="454"/>
      <c r="G11" s="454"/>
      <c r="H11" s="454"/>
      <c r="I11" s="454"/>
      <c r="J11" s="454"/>
      <c r="K11" s="456"/>
      <c r="L11" s="457" t="s">
        <v>265</v>
      </c>
      <c r="M11" s="454"/>
      <c r="N11" s="454"/>
      <c r="O11" s="454"/>
      <c r="P11" s="454"/>
      <c r="Q11" s="454"/>
      <c r="R11" s="454"/>
      <c r="S11" s="454"/>
      <c r="T11" s="454"/>
      <c r="U11" s="886" t="s">
        <v>264</v>
      </c>
      <c r="V11" s="885"/>
      <c r="W11" s="454" t="s">
        <v>266</v>
      </c>
      <c r="X11" s="454"/>
      <c r="Y11" s="454"/>
      <c r="Z11" s="454"/>
      <c r="AA11" s="454"/>
      <c r="AB11" s="454"/>
      <c r="AC11" s="454"/>
      <c r="AD11" s="454"/>
      <c r="AE11" s="456"/>
      <c r="AF11" s="457" t="s">
        <v>265</v>
      </c>
      <c r="AG11" s="454"/>
      <c r="AH11" s="454"/>
      <c r="AI11" s="454"/>
      <c r="AJ11" s="454"/>
      <c r="AK11" s="454"/>
      <c r="AL11" s="454"/>
      <c r="AM11" s="454"/>
      <c r="AN11" s="454"/>
      <c r="AO11" s="886" t="s">
        <v>264</v>
      </c>
      <c r="AP11" s="885"/>
      <c r="AQ11" s="453" t="s">
        <v>266</v>
      </c>
      <c r="AR11" s="454"/>
      <c r="AS11" s="454"/>
      <c r="AT11" s="454"/>
      <c r="AU11" s="454"/>
      <c r="AV11" s="454"/>
      <c r="AW11" s="454"/>
      <c r="AX11" s="454"/>
      <c r="AY11" s="456"/>
      <c r="AZ11" s="457" t="s">
        <v>265</v>
      </c>
      <c r="BA11" s="454"/>
      <c r="BB11" s="454"/>
      <c r="BC11" s="454"/>
      <c r="BD11" s="454"/>
      <c r="BE11" s="454"/>
      <c r="BF11" s="454"/>
      <c r="BG11" s="454"/>
      <c r="BH11" s="454"/>
      <c r="BI11" s="894" t="s">
        <v>264</v>
      </c>
      <c r="BJ11" s="885"/>
      <c r="BK11" s="454" t="s">
        <v>266</v>
      </c>
      <c r="BL11" s="454"/>
      <c r="BM11" s="454"/>
      <c r="BN11" s="454"/>
      <c r="BO11" s="454"/>
      <c r="BP11" s="454"/>
      <c r="BQ11" s="454"/>
      <c r="BR11" s="454"/>
      <c r="BS11" s="456"/>
      <c r="BT11" s="457" t="s">
        <v>265</v>
      </c>
      <c r="BU11" s="454"/>
      <c r="BV11" s="454"/>
      <c r="BW11" s="454"/>
      <c r="BX11" s="454"/>
      <c r="BY11" s="454"/>
      <c r="BZ11" s="454"/>
      <c r="CA11" s="454"/>
      <c r="CB11" s="454"/>
      <c r="CC11" s="894" t="s">
        <v>264</v>
      </c>
      <c r="CD11" s="885"/>
      <c r="CE11" s="756" t="s">
        <v>266</v>
      </c>
      <c r="CF11" s="756"/>
      <c r="CG11" s="756"/>
      <c r="CH11" s="756"/>
      <c r="CI11" s="891"/>
      <c r="CJ11" s="756" t="s">
        <v>265</v>
      </c>
      <c r="CK11" s="756"/>
      <c r="CL11" s="756"/>
      <c r="CM11" s="756"/>
      <c r="CN11" s="891"/>
      <c r="CO11" s="756" t="s">
        <v>1487</v>
      </c>
      <c r="CP11" s="756"/>
      <c r="CQ11" s="756"/>
      <c r="CR11" s="756"/>
      <c r="CS11" s="891"/>
      <c r="CT11" s="200"/>
      <c r="CU11" s="200"/>
      <c r="CV11" s="200"/>
      <c r="CW11" s="200"/>
      <c r="CX11" s="200"/>
      <c r="CY11" s="200"/>
      <c r="CZ11" s="200"/>
      <c r="DA11" s="200"/>
      <c r="DB11" s="200"/>
      <c r="DC11" s="200"/>
      <c r="DD11" s="200"/>
      <c r="DE11" s="200"/>
      <c r="DF11" s="200"/>
      <c r="DG11" s="200"/>
      <c r="DH11" s="200"/>
      <c r="DI11" s="200"/>
      <c r="DJ11" s="200"/>
      <c r="DK11" s="200"/>
      <c r="DL11" s="200"/>
      <c r="DM11" s="200"/>
      <c r="DN11" s="200"/>
      <c r="DO11" s="200"/>
      <c r="DP11" s="200"/>
      <c r="DQ11" s="200"/>
      <c r="DR11" s="200"/>
      <c r="DS11" s="200"/>
      <c r="DT11" s="200"/>
      <c r="DU11" s="200"/>
      <c r="DV11" s="200"/>
      <c r="DW11" s="200"/>
      <c r="DX11" s="200"/>
      <c r="DY11" s="200"/>
      <c r="DZ11" s="200"/>
      <c r="EA11" s="200"/>
    </row>
    <row r="12" spans="1:131" ht="12.75" customHeight="1" x14ac:dyDescent="0.25">
      <c r="A12" s="111" t="s">
        <v>263</v>
      </c>
      <c r="B12" s="885"/>
      <c r="C12" s="194" t="s">
        <v>126</v>
      </c>
      <c r="D12" s="195"/>
      <c r="E12" s="194" t="s">
        <v>127</v>
      </c>
      <c r="F12" s="195"/>
      <c r="G12" s="194" t="s">
        <v>128</v>
      </c>
      <c r="H12" s="195"/>
      <c r="I12" s="194" t="s">
        <v>129</v>
      </c>
      <c r="J12" s="195"/>
      <c r="K12" s="84"/>
      <c r="L12" s="196" t="s">
        <v>126</v>
      </c>
      <c r="M12" s="195"/>
      <c r="N12" s="194" t="s">
        <v>127</v>
      </c>
      <c r="O12" s="195"/>
      <c r="P12" s="194" t="s">
        <v>128</v>
      </c>
      <c r="Q12" s="195"/>
      <c r="R12" s="194" t="s">
        <v>129</v>
      </c>
      <c r="S12" s="195"/>
      <c r="T12" s="459"/>
      <c r="U12" s="887"/>
      <c r="V12" s="885"/>
      <c r="W12" s="197" t="s">
        <v>126</v>
      </c>
      <c r="X12" s="195"/>
      <c r="Y12" s="194" t="s">
        <v>127</v>
      </c>
      <c r="Z12" s="195"/>
      <c r="AA12" s="194" t="s">
        <v>128</v>
      </c>
      <c r="AB12" s="195"/>
      <c r="AC12" s="194" t="s">
        <v>129</v>
      </c>
      <c r="AD12" s="195"/>
      <c r="AE12" s="84"/>
      <c r="AF12" s="196" t="s">
        <v>126</v>
      </c>
      <c r="AG12" s="195"/>
      <c r="AH12" s="194" t="s">
        <v>127</v>
      </c>
      <c r="AI12" s="195"/>
      <c r="AJ12" s="194" t="s">
        <v>128</v>
      </c>
      <c r="AK12" s="195"/>
      <c r="AL12" s="194" t="s">
        <v>129</v>
      </c>
      <c r="AM12" s="195"/>
      <c r="AN12" s="459"/>
      <c r="AO12" s="887"/>
      <c r="AP12" s="885"/>
      <c r="AQ12" s="194" t="s">
        <v>126</v>
      </c>
      <c r="AR12" s="195"/>
      <c r="AS12" s="194" t="s">
        <v>127</v>
      </c>
      <c r="AT12" s="195"/>
      <c r="AU12" s="194" t="s">
        <v>128</v>
      </c>
      <c r="AV12" s="195"/>
      <c r="AW12" s="194" t="s">
        <v>129</v>
      </c>
      <c r="AX12" s="195"/>
      <c r="AY12" s="84"/>
      <c r="AZ12" s="196" t="s">
        <v>126</v>
      </c>
      <c r="BA12" s="195"/>
      <c r="BB12" s="194" t="s">
        <v>127</v>
      </c>
      <c r="BC12" s="195"/>
      <c r="BD12" s="194" t="s">
        <v>128</v>
      </c>
      <c r="BE12" s="195"/>
      <c r="BF12" s="194" t="s">
        <v>129</v>
      </c>
      <c r="BG12" s="195"/>
      <c r="BH12" s="459"/>
      <c r="BI12" s="895"/>
      <c r="BJ12" s="885"/>
      <c r="BK12" s="197" t="s">
        <v>126</v>
      </c>
      <c r="BL12" s="195"/>
      <c r="BM12" s="194" t="s">
        <v>127</v>
      </c>
      <c r="BN12" s="195"/>
      <c r="BO12" s="194" t="s">
        <v>128</v>
      </c>
      <c r="BP12" s="195"/>
      <c r="BQ12" s="194" t="s">
        <v>129</v>
      </c>
      <c r="BR12" s="195"/>
      <c r="BS12" s="84"/>
      <c r="BT12" s="196" t="s">
        <v>126</v>
      </c>
      <c r="BU12" s="195"/>
      <c r="BV12" s="194" t="s">
        <v>127</v>
      </c>
      <c r="BW12" s="195"/>
      <c r="BX12" s="194" t="s">
        <v>128</v>
      </c>
      <c r="BY12" s="195"/>
      <c r="BZ12" s="194" t="s">
        <v>129</v>
      </c>
      <c r="CA12" s="195"/>
      <c r="CB12" s="459"/>
      <c r="CC12" s="895"/>
      <c r="CD12" s="885"/>
      <c r="CE12" s="194" t="s">
        <v>126</v>
      </c>
      <c r="CF12" s="194" t="s">
        <v>127</v>
      </c>
      <c r="CG12" s="194" t="s">
        <v>128</v>
      </c>
      <c r="CH12" s="195" t="s">
        <v>129</v>
      </c>
      <c r="CI12" s="891"/>
      <c r="CJ12" s="194" t="s">
        <v>126</v>
      </c>
      <c r="CK12" s="194" t="s">
        <v>127</v>
      </c>
      <c r="CL12" s="194" t="s">
        <v>128</v>
      </c>
      <c r="CM12" s="195" t="s">
        <v>129</v>
      </c>
      <c r="CN12" s="891"/>
      <c r="CO12" s="194" t="s">
        <v>126</v>
      </c>
      <c r="CP12" s="194" t="s">
        <v>127</v>
      </c>
      <c r="CQ12" s="194" t="s">
        <v>128</v>
      </c>
      <c r="CR12" s="195" t="s">
        <v>129</v>
      </c>
      <c r="CS12" s="891"/>
    </row>
    <row r="13" spans="1:131" s="273" customFormat="1" ht="46.5" customHeight="1" x14ac:dyDescent="0.25">
      <c r="A13" s="458"/>
      <c r="B13" s="885"/>
      <c r="C13" s="699" t="s">
        <v>261</v>
      </c>
      <c r="D13" s="699" t="s">
        <v>260</v>
      </c>
      <c r="E13" s="699" t="s">
        <v>261</v>
      </c>
      <c r="F13" s="699" t="s">
        <v>260</v>
      </c>
      <c r="G13" s="699" t="s">
        <v>261</v>
      </c>
      <c r="H13" s="699" t="s">
        <v>260</v>
      </c>
      <c r="I13" s="699" t="s">
        <v>261</v>
      </c>
      <c r="J13" s="699" t="s">
        <v>260</v>
      </c>
      <c r="K13" s="700" t="s">
        <v>262</v>
      </c>
      <c r="L13" s="701" t="s">
        <v>261</v>
      </c>
      <c r="M13" s="699" t="s">
        <v>260</v>
      </c>
      <c r="N13" s="699" t="s">
        <v>261</v>
      </c>
      <c r="O13" s="699" t="s">
        <v>260</v>
      </c>
      <c r="P13" s="699" t="s">
        <v>261</v>
      </c>
      <c r="Q13" s="699" t="s">
        <v>260</v>
      </c>
      <c r="R13" s="699" t="s">
        <v>261</v>
      </c>
      <c r="S13" s="699" t="s">
        <v>260</v>
      </c>
      <c r="T13" s="699" t="s">
        <v>259</v>
      </c>
      <c r="U13" s="888"/>
      <c r="V13" s="885"/>
      <c r="W13" s="702" t="s">
        <v>261</v>
      </c>
      <c r="X13" s="699" t="s">
        <v>260</v>
      </c>
      <c r="Y13" s="699" t="s">
        <v>261</v>
      </c>
      <c r="Z13" s="699" t="s">
        <v>260</v>
      </c>
      <c r="AA13" s="699" t="s">
        <v>261</v>
      </c>
      <c r="AB13" s="699" t="s">
        <v>260</v>
      </c>
      <c r="AC13" s="699" t="s">
        <v>261</v>
      </c>
      <c r="AD13" s="699" t="s">
        <v>260</v>
      </c>
      <c r="AE13" s="700" t="s">
        <v>262</v>
      </c>
      <c r="AF13" s="701" t="s">
        <v>261</v>
      </c>
      <c r="AG13" s="699" t="s">
        <v>260</v>
      </c>
      <c r="AH13" s="699" t="s">
        <v>261</v>
      </c>
      <c r="AI13" s="699" t="s">
        <v>260</v>
      </c>
      <c r="AJ13" s="699" t="s">
        <v>261</v>
      </c>
      <c r="AK13" s="699" t="s">
        <v>260</v>
      </c>
      <c r="AL13" s="699" t="s">
        <v>261</v>
      </c>
      <c r="AM13" s="699" t="s">
        <v>260</v>
      </c>
      <c r="AN13" s="699" t="s">
        <v>259</v>
      </c>
      <c r="AO13" s="888"/>
      <c r="AP13" s="885"/>
      <c r="AQ13" s="699" t="s">
        <v>261</v>
      </c>
      <c r="AR13" s="699" t="s">
        <v>260</v>
      </c>
      <c r="AS13" s="699" t="s">
        <v>261</v>
      </c>
      <c r="AT13" s="699" t="s">
        <v>260</v>
      </c>
      <c r="AU13" s="699" t="s">
        <v>261</v>
      </c>
      <c r="AV13" s="699" t="s">
        <v>260</v>
      </c>
      <c r="AW13" s="699" t="s">
        <v>261</v>
      </c>
      <c r="AX13" s="699" t="s">
        <v>260</v>
      </c>
      <c r="AY13" s="700" t="s">
        <v>262</v>
      </c>
      <c r="AZ13" s="701" t="s">
        <v>261</v>
      </c>
      <c r="BA13" s="699" t="s">
        <v>260</v>
      </c>
      <c r="BB13" s="699" t="s">
        <v>261</v>
      </c>
      <c r="BC13" s="699" t="s">
        <v>260</v>
      </c>
      <c r="BD13" s="699" t="s">
        <v>261</v>
      </c>
      <c r="BE13" s="699" t="s">
        <v>260</v>
      </c>
      <c r="BF13" s="699" t="s">
        <v>261</v>
      </c>
      <c r="BG13" s="699" t="s">
        <v>260</v>
      </c>
      <c r="BH13" s="699" t="s">
        <v>259</v>
      </c>
      <c r="BI13" s="896"/>
      <c r="BJ13" s="885"/>
      <c r="BK13" s="702" t="s">
        <v>261</v>
      </c>
      <c r="BL13" s="699" t="s">
        <v>260</v>
      </c>
      <c r="BM13" s="699" t="s">
        <v>261</v>
      </c>
      <c r="BN13" s="699" t="s">
        <v>260</v>
      </c>
      <c r="BO13" s="699" t="s">
        <v>261</v>
      </c>
      <c r="BP13" s="699" t="s">
        <v>260</v>
      </c>
      <c r="BQ13" s="699" t="s">
        <v>261</v>
      </c>
      <c r="BR13" s="699" t="s">
        <v>260</v>
      </c>
      <c r="BS13" s="700" t="s">
        <v>262</v>
      </c>
      <c r="BT13" s="701" t="s">
        <v>261</v>
      </c>
      <c r="BU13" s="699" t="s">
        <v>260</v>
      </c>
      <c r="BV13" s="699" t="s">
        <v>261</v>
      </c>
      <c r="BW13" s="699" t="s">
        <v>260</v>
      </c>
      <c r="BX13" s="699" t="s">
        <v>261</v>
      </c>
      <c r="BY13" s="699" t="s">
        <v>260</v>
      </c>
      <c r="BZ13" s="699" t="s">
        <v>261</v>
      </c>
      <c r="CA13" s="699" t="s">
        <v>260</v>
      </c>
      <c r="CB13" s="699" t="s">
        <v>259</v>
      </c>
      <c r="CC13" s="896"/>
      <c r="CD13" s="885"/>
      <c r="CE13" s="703" t="s">
        <v>205</v>
      </c>
      <c r="CF13" s="703" t="s">
        <v>205</v>
      </c>
      <c r="CG13" s="703" t="s">
        <v>205</v>
      </c>
      <c r="CH13" s="703" t="s">
        <v>205</v>
      </c>
      <c r="CI13" s="892"/>
      <c r="CJ13" s="703" t="s">
        <v>205</v>
      </c>
      <c r="CK13" s="703" t="s">
        <v>205</v>
      </c>
      <c r="CL13" s="703" t="s">
        <v>205</v>
      </c>
      <c r="CM13" s="703" t="s">
        <v>205</v>
      </c>
      <c r="CN13" s="892"/>
      <c r="CO13" s="703" t="s">
        <v>205</v>
      </c>
      <c r="CP13" s="703" t="s">
        <v>205</v>
      </c>
      <c r="CQ13" s="703" t="s">
        <v>205</v>
      </c>
      <c r="CR13" s="703" t="s">
        <v>205</v>
      </c>
      <c r="CS13" s="892"/>
      <c r="CT13" s="422"/>
      <c r="CU13" s="422"/>
      <c r="CV13" s="422"/>
      <c r="CW13" s="422"/>
      <c r="CX13" s="422"/>
      <c r="CY13" s="422"/>
      <c r="CZ13" s="422"/>
      <c r="DA13" s="422"/>
      <c r="DB13" s="422"/>
      <c r="DC13" s="422"/>
      <c r="DD13" s="422"/>
      <c r="DE13" s="422"/>
      <c r="DF13" s="422"/>
      <c r="DG13" s="422"/>
      <c r="DH13" s="422"/>
      <c r="DI13" s="422"/>
      <c r="DJ13" s="422"/>
      <c r="DK13" s="422"/>
      <c r="DL13" s="422"/>
      <c r="DM13" s="422"/>
      <c r="DN13" s="422"/>
      <c r="DO13" s="422"/>
      <c r="DP13" s="422"/>
      <c r="DQ13" s="422"/>
      <c r="DR13" s="422"/>
      <c r="DS13" s="422"/>
      <c r="DT13" s="422"/>
      <c r="DU13" s="422"/>
      <c r="DV13" s="422"/>
      <c r="DW13" s="422"/>
      <c r="DX13" s="422"/>
      <c r="DY13" s="422"/>
      <c r="DZ13" s="422"/>
      <c r="EA13" s="422"/>
    </row>
    <row r="14" spans="1:131" ht="15.75" customHeight="1" x14ac:dyDescent="0.25">
      <c r="A14" s="19" t="s">
        <v>199</v>
      </c>
      <c r="B14" s="153"/>
      <c r="C14" s="748">
        <f>INDEX('Schedule 1_Enrollment'!$D$12:$K$35,MATCH(C12,'Schedule 1_Enrollment'!$B$10:$B$31,0)+1,MATCH(C10,'Schedule 1_Enrollment'!$D$10:$K$10,0)+IF(C13="Dual Eligible",1,0))</f>
        <v>55</v>
      </c>
      <c r="D14" s="748">
        <f>INDEX('Schedule 1_Enrollment'!$D$12:$K$35,MATCH(C12,'Schedule 1_Enrollment'!$B$10:$B$31,0)+1,MATCH(C10,'Schedule 1_Enrollment'!$D$10:$K$10,0)+IF(D13="Dual Eligible",1,0))</f>
        <v>430.03628780128054</v>
      </c>
      <c r="E14" s="748">
        <f>INDEX('Schedule 1_Enrollment'!$D$12:$K$35,MATCH(E12,'Schedule 1_Enrollment'!$B$10:$B$31,0)+1,MATCH(C10,'Schedule 1_Enrollment'!$D$10:$K$10,0)+IF(E13="Dual Eligible",1,0))</f>
        <v>96</v>
      </c>
      <c r="F14" s="748">
        <f>INDEX('Schedule 1_Enrollment'!$D$12:$K$35,MATCH(E12,'Schedule 1_Enrollment'!$B$10:$B$31,0)+1,MATCH(C10,'Schedule 1_Enrollment'!$D$10:$K$10,0)+IF(F13="Dual Eligible",1,0))</f>
        <v>621</v>
      </c>
      <c r="G14" s="748">
        <f>INDEX('Schedule 1_Enrollment'!$D$12:$K$35,MATCH(G12,'Schedule 1_Enrollment'!$B$10:$B$31,0)+1,MATCH(C10,'Schedule 1_Enrollment'!$D$10:$K$10,0)+IF(G13="Dual Eligible",1,0))</f>
        <v>109</v>
      </c>
      <c r="H14" s="748">
        <f>INDEX('Schedule 1_Enrollment'!$D$12:$K$35,MATCH(G12,'Schedule 1_Enrollment'!$B$10:$B$31,0)+1,MATCH(C10,'Schedule 1_Enrollment'!$D$10:$K$10,0)+IF(H13="Dual Eligible",1,0))</f>
        <v>644</v>
      </c>
      <c r="I14" s="748">
        <f>INDEX('Schedule 1_Enrollment'!$D$12:$K$35,MATCH(I12,'Schedule 1_Enrollment'!$B$10:$B$31,0)+1,MATCH(C10,'Schedule 1_Enrollment'!$D$10:$K$10,0)+IF(I13="Dual Eligible",1,0))</f>
        <v>91</v>
      </c>
      <c r="J14" s="748">
        <f>INDEX('Schedule 1_Enrollment'!$D$12:$K$35,MATCH(I12,'Schedule 1_Enrollment'!$B$10:$B$31,0)+1,MATCH(C10,'Schedule 1_Enrollment'!$D$10:$K$10,0)+IF(J13="Dual Eligible",1,0))</f>
        <v>632</v>
      </c>
      <c r="K14" s="751">
        <f>SUM(C14:J14)</f>
        <v>2678.0362878012807</v>
      </c>
      <c r="L14" s="750">
        <f>INDEX('Schedule 1_Enrollment'!$D$12:$K$35,MATCH(L12,'Schedule 1_Enrollment'!$B$10:$B$31,0)+1,MATCH(C10,'Schedule 1_Enrollment'!$D$10:$K$10,0)+IF(L13="Dual Eligible",1,0))</f>
        <v>55</v>
      </c>
      <c r="M14" s="748">
        <f>INDEX('Schedule 1_Enrollment'!$D$12:$K$35,MATCH(L12,'Schedule 1_Enrollment'!$B$10:$B$31,0)+1,MATCH(C10,'Schedule 1_Enrollment'!$D$10:$K$10,0)+IF(M13="Dual Eligible",1,0))</f>
        <v>430.03628780128054</v>
      </c>
      <c r="N14" s="748">
        <f>INDEX('Schedule 1_Enrollment'!$D$12:$K$35,MATCH(N12,'Schedule 1_Enrollment'!$B$10:$B$31,0)+1,MATCH(C10,'Schedule 1_Enrollment'!$D$10:$K$10,0)+IF(N13="Dual Eligible",1,0))</f>
        <v>96</v>
      </c>
      <c r="O14" s="748">
        <f>INDEX('Schedule 1_Enrollment'!$D$12:$K$35,MATCH(N12,'Schedule 1_Enrollment'!$B$10:$B$31,0)+1,MATCH(C10,'Schedule 1_Enrollment'!$D$10:$K$10,0)+IF(O13="Dual Eligible",1,0))</f>
        <v>621</v>
      </c>
      <c r="P14" s="748">
        <f>INDEX('Schedule 1_Enrollment'!$D$12:$K$35,MATCH(P12,'Schedule 1_Enrollment'!$B$10:$B$31,0)+1,MATCH(C10,'Schedule 1_Enrollment'!$D$10:$K$10,0)+IF(P13="Dual Eligible",1,0))</f>
        <v>109</v>
      </c>
      <c r="Q14" s="748">
        <f>INDEX('Schedule 1_Enrollment'!$D$12:$K$35,MATCH(P12,'Schedule 1_Enrollment'!$B$10:$B$31,0)+1,MATCH(C10,'Schedule 1_Enrollment'!$D$10:$K$10,0)+IF(Q13="Dual Eligible",1,0))</f>
        <v>644</v>
      </c>
      <c r="R14" s="748">
        <f>INDEX('Schedule 1_Enrollment'!$D$12:$K$35,MATCH(R12,'Schedule 1_Enrollment'!$B$10:$B$31,0)+1,MATCH(C10,'Schedule 1_Enrollment'!$D$10:$K$10,0)+IF(R13="Dual Eligible",1,0))</f>
        <v>91</v>
      </c>
      <c r="S14" s="748">
        <f>INDEX('Schedule 1_Enrollment'!$D$12:$K$35,MATCH(R12,'Schedule 1_Enrollment'!$B$10:$B$31,0)+1,MATCH(C10,'Schedule 1_Enrollment'!$D$10:$K$10,0)+IF(S13="Dual Eligible",1,0))</f>
        <v>632</v>
      </c>
      <c r="T14" s="751">
        <f>SUM(L14:S14)</f>
        <v>2678.0362878012807</v>
      </c>
      <c r="U14" s="748">
        <f>T14</f>
        <v>2678.0362878012807</v>
      </c>
      <c r="V14" s="153"/>
      <c r="W14" s="748">
        <f>INDEX('Schedule 1_Enrollment'!$D$12:$K$35,MATCH(W12,'Schedule 1_Enrollment'!$B$10:$B$31,0)+1,MATCH(W10,'Schedule 1_Enrollment'!$D$10:$K$10,0)+IF(W13="Dual Eligible",1,0))</f>
        <v>0</v>
      </c>
      <c r="X14" s="748">
        <f>INDEX('Schedule 1_Enrollment'!$D$12:$K$35,MATCH(W12,'Schedule 1_Enrollment'!$B$10:$B$31,0)+1,MATCH(W10,'Schedule 1_Enrollment'!$D$10:$K$10,0)+IF(X13="Dual Eligible",1,0))</f>
        <v>124</v>
      </c>
      <c r="Y14" s="748">
        <f>INDEX('Schedule 1_Enrollment'!$D$12:$K$35,MATCH(Y12,'Schedule 1_Enrollment'!$B$10:$B$31,0)+1,MATCH(W10,'Schedule 1_Enrollment'!$D$10:$K$10,0)+IF(Y13="Dual Eligible",1,0))</f>
        <v>2</v>
      </c>
      <c r="Z14" s="748">
        <f>INDEX('Schedule 1_Enrollment'!$D$12:$K$35,MATCH(Y12,'Schedule 1_Enrollment'!$B$10:$B$31,0)+1,MATCH(W10,'Schedule 1_Enrollment'!$D$10:$K$10,0)+IF(Z13="Dual Eligible",1,0))</f>
        <v>87</v>
      </c>
      <c r="AA14" s="748">
        <f>INDEX('Schedule 1_Enrollment'!$D$12:$K$35,MATCH(AA12,'Schedule 1_Enrollment'!$B$10:$B$31,0)+1,MATCH(W10,'Schedule 1_Enrollment'!$D$10:$K$10,0)+IF(AA13="Dual Eligible",1,0))</f>
        <v>8</v>
      </c>
      <c r="AB14" s="748">
        <f>INDEX('Schedule 1_Enrollment'!$D$12:$K$35,MATCH(AA12,'Schedule 1_Enrollment'!$B$10:$B$31,0)+1,MATCH(W10,'Schedule 1_Enrollment'!$D$10:$K$10,0)+IF(AB13="Dual Eligible",1,0))</f>
        <v>91</v>
      </c>
      <c r="AC14" s="748">
        <f>INDEX('Schedule 1_Enrollment'!$D$12:$K$35,MATCH(AC12,'Schedule 1_Enrollment'!$B$10:$B$31,0)+1,MATCH(W10,'Schedule 1_Enrollment'!$D$10:$K$10,0)+IF(AC13="Dual Eligible",1,0))</f>
        <v>9</v>
      </c>
      <c r="AD14" s="748">
        <f>INDEX('Schedule 1_Enrollment'!$D$12:$K$35,MATCH(AC12,'Schedule 1_Enrollment'!$B$10:$B$31,0)+1,MATCH(W10,'Schedule 1_Enrollment'!$D$10:$K$10,0)+IF(AD13="Dual Eligible",1,0))</f>
        <v>94</v>
      </c>
      <c r="AE14" s="751">
        <f>SUM(W14:AD14)</f>
        <v>415</v>
      </c>
      <c r="AF14" s="750">
        <f>INDEX('Schedule 1_Enrollment'!$D$12:$K$35,MATCH(AF12,'Schedule 1_Enrollment'!$B$10:$B$31,0)+1,MATCH(W10,'Schedule 1_Enrollment'!$D$10:$K$10,0)+IF(AF13="Dual Eligible",1,0))</f>
        <v>0</v>
      </c>
      <c r="AG14" s="748">
        <f>INDEX('Schedule 1_Enrollment'!$D$12:$K$35,MATCH(AF12,'Schedule 1_Enrollment'!$B$10:$B$31,0)+1,MATCH(W10,'Schedule 1_Enrollment'!$D$10:$K$10,0)+IF(AG13="Dual Eligible",1,0))</f>
        <v>124</v>
      </c>
      <c r="AH14" s="748">
        <f>INDEX('Schedule 1_Enrollment'!$D$12:$K$35,MATCH(AH12,'Schedule 1_Enrollment'!$B$10:$B$31,0)+1,MATCH(W10,'Schedule 1_Enrollment'!$D$10:$K$10,0)+IF(AH13="Dual Eligible",1,0))</f>
        <v>2</v>
      </c>
      <c r="AI14" s="748">
        <f>INDEX('Schedule 1_Enrollment'!$D$12:$K$35,MATCH(AH12,'Schedule 1_Enrollment'!$B$10:$B$31,0)+1,MATCH(W10,'Schedule 1_Enrollment'!$D$10:$K$10,0)+IF(AI13="Dual Eligible",1,0))</f>
        <v>87</v>
      </c>
      <c r="AJ14" s="748">
        <f>INDEX('Schedule 1_Enrollment'!$D$12:$K$35,MATCH(AJ12,'Schedule 1_Enrollment'!$B$10:$B$31,0)+1,MATCH(W10,'Schedule 1_Enrollment'!$D$10:$K$10,0)+IF(AJ13="Dual Eligible",1,0))</f>
        <v>8</v>
      </c>
      <c r="AK14" s="748">
        <f>INDEX('Schedule 1_Enrollment'!$D$12:$K$35,MATCH(AJ12,'Schedule 1_Enrollment'!$B$10:$B$31,0)+1,MATCH(W10,'Schedule 1_Enrollment'!$D$10:$K$10,0)+IF(AK13="Dual Eligible",1,0))</f>
        <v>91</v>
      </c>
      <c r="AL14" s="748">
        <f>INDEX('Schedule 1_Enrollment'!$D$12:$K$35,MATCH(AL12,'Schedule 1_Enrollment'!$B$10:$B$31,0)+1,MATCH(W10,'Schedule 1_Enrollment'!$D$10:$K$10,0)+IF(AL13="Dual Eligible",1,0))</f>
        <v>9</v>
      </c>
      <c r="AM14" s="748">
        <f>INDEX('Schedule 1_Enrollment'!$D$12:$K$35,MATCH(AL12,'Schedule 1_Enrollment'!$B$10:$B$31,0)+1,MATCH(W10,'Schedule 1_Enrollment'!$D$10:$K$10,0)+IF(AM13="Dual Eligible",1,0))</f>
        <v>94</v>
      </c>
      <c r="AN14" s="751">
        <f>SUM(AF14:AM14)</f>
        <v>415</v>
      </c>
      <c r="AO14" s="748">
        <f>AN14</f>
        <v>415</v>
      </c>
      <c r="AP14" s="153"/>
      <c r="AQ14" s="748">
        <f>INDEX('Schedule 1_Enrollment'!$D$12:$K$35,MATCH(AQ12,'Schedule 1_Enrollment'!$B$10:$B$31,0)+1,MATCH(AQ10,'Schedule 1_Enrollment'!$D$10:$K$10,0)+IF(AQ13="Dual Eligible",1,0))</f>
        <v>298</v>
      </c>
      <c r="AR14" s="748">
        <f>INDEX('Schedule 1_Enrollment'!$D$12:$K$35,MATCH(AQ12,'Schedule 1_Enrollment'!$B$10:$B$31,0)+1,MATCH(AQ10,'Schedule 1_Enrollment'!$D$10:$K$10,0)+IF(AR13="Dual Eligible",1,0))</f>
        <v>1083.3063069723746</v>
      </c>
      <c r="AS14" s="748">
        <f>INDEX('Schedule 1_Enrollment'!$D$12:$K$35,MATCH(AS12,'Schedule 1_Enrollment'!$B$10:$B$31,0)+1,MATCH(AQ10,'Schedule 1_Enrollment'!$D$10:$K$10,0)+IF(AS13="Dual Eligible",1,0))</f>
        <v>287</v>
      </c>
      <c r="AT14" s="748">
        <f>INDEX('Schedule 1_Enrollment'!$D$12:$K$35,MATCH(AS12,'Schedule 1_Enrollment'!$B$10:$B$31,0)+1,MATCH(AQ10,'Schedule 1_Enrollment'!$D$10:$K$10,0)+IF(AT13="Dual Eligible",1,0))</f>
        <v>1033.7356920975371</v>
      </c>
      <c r="AU14" s="748">
        <f>INDEX('Schedule 1_Enrollment'!$D$12:$K$35,MATCH(AU12,'Schedule 1_Enrollment'!$B$10:$B$31,0)+1,MATCH(AQ10,'Schedule 1_Enrollment'!$D$10:$K$10,0)+IF(AU13="Dual Eligible",1,0))</f>
        <v>312.06490137486685</v>
      </c>
      <c r="AV14" s="748">
        <f>INDEX('Schedule 1_Enrollment'!$D$12:$K$35,MATCH(AU12,'Schedule 1_Enrollment'!$B$10:$B$31,0)+1,MATCH(AQ10,'Schedule 1_Enrollment'!$D$10:$K$10,0)+IF(AV13="Dual Eligible",1,0))</f>
        <v>1175.7687490240294</v>
      </c>
      <c r="AW14" s="748">
        <f>INDEX('Schedule 1_Enrollment'!$D$12:$K$35,MATCH(AW12,'Schedule 1_Enrollment'!$B$10:$B$31,0)+1,MATCH(AQ10,'Schedule 1_Enrollment'!$D$10:$K$10,0)+IF(AW13="Dual Eligible",1,0))</f>
        <v>352</v>
      </c>
      <c r="AX14" s="748">
        <f>INDEX('Schedule 1_Enrollment'!$D$12:$K$35,MATCH(AW12,'Schedule 1_Enrollment'!$B$10:$B$31,0)+1,MATCH(AQ10,'Schedule 1_Enrollment'!$D$10:$K$10,0)+IF(AX13="Dual Eligible",1,0))</f>
        <v>1343.5125006427527</v>
      </c>
      <c r="AY14" s="751">
        <f>SUM(AQ14:AX14)</f>
        <v>5885.3881501115611</v>
      </c>
      <c r="AZ14" s="750">
        <f>INDEX('Schedule 1_Enrollment'!$D$12:$K$35,MATCH(AZ12,'Schedule 1_Enrollment'!$B$10:$B$31,0)+1,MATCH(AQ10,'Schedule 1_Enrollment'!$D$10:$K$10,0)+IF(AZ13="Dual Eligible",1,0))</f>
        <v>298</v>
      </c>
      <c r="BA14" s="748">
        <f>INDEX('Schedule 1_Enrollment'!$D$12:$K$35,MATCH(AZ12,'Schedule 1_Enrollment'!$B$10:$B$31,0)+1,MATCH(AQ10,'Schedule 1_Enrollment'!$D$10:$K$10,0)+IF(BA13="Dual Eligible",1,0))</f>
        <v>1083.3063069723746</v>
      </c>
      <c r="BB14" s="748">
        <f>INDEX('Schedule 1_Enrollment'!$D$12:$K$35,MATCH(BB12,'Schedule 1_Enrollment'!$B$10:$B$31,0)+1,MATCH(AQ10,'Schedule 1_Enrollment'!$D$10:$K$10,0)+IF(BB13="Dual Eligible",1,0))</f>
        <v>287</v>
      </c>
      <c r="BC14" s="748">
        <f>INDEX('Schedule 1_Enrollment'!$D$12:$K$35,MATCH(BB12,'Schedule 1_Enrollment'!$B$10:$B$31,0)+1,MATCH(AQ10,'Schedule 1_Enrollment'!$D$10:$K$10,0)+IF(BC13="Dual Eligible",1,0))</f>
        <v>1033.7356920975371</v>
      </c>
      <c r="BD14" s="748">
        <f>INDEX('Schedule 1_Enrollment'!$D$12:$K$35,MATCH(BD12,'Schedule 1_Enrollment'!$B$10:$B$31,0)+1,MATCH(AQ10,'Schedule 1_Enrollment'!$D$10:$K$10,0)+IF(BD13="Dual Eligible",1,0))</f>
        <v>312.06490137486685</v>
      </c>
      <c r="BE14" s="748">
        <f>INDEX('Schedule 1_Enrollment'!$D$12:$K$35,MATCH(BD12,'Schedule 1_Enrollment'!$B$10:$B$31,0)+1,MATCH(AQ10,'Schedule 1_Enrollment'!$D$10:$K$10,0)+IF(BE13="Dual Eligible",1,0))</f>
        <v>1175.7687490240294</v>
      </c>
      <c r="BF14" s="748">
        <f>INDEX('Schedule 1_Enrollment'!$D$12:$K$35,MATCH(BF12,'Schedule 1_Enrollment'!$B$10:$B$31,0)+1,MATCH(AQ10,'Schedule 1_Enrollment'!$D$10:$K$10,0)+IF(BF13="Dual Eligible",1,0))</f>
        <v>352</v>
      </c>
      <c r="BG14" s="748">
        <f>INDEX('Schedule 1_Enrollment'!$D$12:$K$35,MATCH(BF12,'Schedule 1_Enrollment'!$B$10:$B$31,0)+1,MATCH(AQ10,'Schedule 1_Enrollment'!$D$10:$K$10,0)+IF(BG13="Dual Eligible",1,0))</f>
        <v>1343.5125006427527</v>
      </c>
      <c r="BH14" s="751">
        <f>SUM(AZ14:BG14)</f>
        <v>5885.3881501115611</v>
      </c>
      <c r="BI14" s="748">
        <f>BH14</f>
        <v>5885.3881501115611</v>
      </c>
      <c r="BJ14" s="153"/>
      <c r="BK14" s="748">
        <f>INDEX('Schedule 1_Enrollment'!$D$12:$K$35,MATCH(BK12,'Schedule 1_Enrollment'!$B$10:$B$31,0)+1,MATCH(IF(BK10="Institutional (All: Tier 1, Tier 2 and Tier 3)","Institutional (All Tiers)",BK10),'Schedule 1_Enrollment'!$D$10:$K$10,0)+IF(BK13="Dual Eligible",1,0))</f>
        <v>3</v>
      </c>
      <c r="BL14" s="748">
        <f>INDEX('Schedule 1_Enrollment'!$D$12:$K$35,MATCH(BK12,'Schedule 1_Enrollment'!$B$10:$B$31,0)+1,MATCH(IF(BK10="Institutional (All: Tier 1, Tier 2 and Tier 3)","Institutional (All Tiers)",BK10),'Schedule 1_Enrollment'!$D$10:$K$10,0)+IF(BL13="Dual Eligible",1,0))</f>
        <v>52.073671113858971</v>
      </c>
      <c r="BM14" s="748">
        <f>INDEX('Schedule 1_Enrollment'!$D$12:$K$35,MATCH(BM12,'Schedule 1_Enrollment'!$B$10:$B$31,0)+1,MATCH(IF(BK10="Institutional (All: Tier 1, Tier 2 and Tier 3)","Institutional (All Tiers)",BK10),'Schedule 1_Enrollment'!$D$10:$K$10,0)+IF(BM13="Dual Eligible",1,0))</f>
        <v>3</v>
      </c>
      <c r="BN14" s="748">
        <f>INDEX('Schedule 1_Enrollment'!$D$12:$K$35,MATCH(BM12,'Schedule 1_Enrollment'!$B$10:$B$31,0)+1,MATCH(IF(BK10="Institutional (All: Tier 1, Tier 2 and Tier 3)","Institutional (All Tiers)",BK10),'Schedule 1_Enrollment'!$D$10:$K$10,0)+IF(BN13="Dual Eligible",1,0))</f>
        <v>42.963657155266901</v>
      </c>
      <c r="BO14" s="748">
        <f>INDEX('Schedule 1_Enrollment'!$D$12:$K$35,MATCH(BO12,'Schedule 1_Enrollment'!$B$10:$B$31,0)+1,MATCH(IF(BK10="Institutional (All: Tier 1, Tier 2 and Tier 3)","Institutional (All Tiers)",BK10),'Schedule 1_Enrollment'!$D$10:$K$10,0)+IF(BO13="Dual Eligible",1,0))</f>
        <v>2.3256022021661988</v>
      </c>
      <c r="BP14" s="748">
        <f>INDEX('Schedule 1_Enrollment'!$D$12:$K$35,MATCH(BO12,'Schedule 1_Enrollment'!$B$10:$B$31,0)+1,MATCH(IF(BK10="Institutional (All: Tier 1, Tier 2 and Tier 3)","Institutional (All Tiers)",BK10),'Schedule 1_Enrollment'!$D$10:$K$10,0)+IF(BP13="Dual Eligible",1,0))</f>
        <v>47.289423696840352</v>
      </c>
      <c r="BQ14" s="748">
        <f>INDEX('Schedule 1_Enrollment'!$D$12:$K$35,MATCH(BQ12,'Schedule 1_Enrollment'!$B$10:$B$31,0)+1,MATCH(IF(BK10="Institutional (All: Tier 1, Tier 2 and Tier 3)","Institutional (All Tiers)",BK10),'Schedule 1_Enrollment'!$D$10:$K$10,0)+IF(BQ13="Dual Eligible",1,0))</f>
        <v>0</v>
      </c>
      <c r="BR14" s="748">
        <f>INDEX('Schedule 1_Enrollment'!$D$12:$K$35,MATCH(BQ12,'Schedule 1_Enrollment'!$B$10:$B$31,0)+1,MATCH(IF(BK10="Institutional (All: Tier 1, Tier 2 and Tier 3)","Institutional (All Tiers)",BK10),'Schedule 1_Enrollment'!$D$10:$K$10,0)+IF(BR13="Dual Eligible",1,0))</f>
        <v>42.549106445735276</v>
      </c>
      <c r="BS14" s="751">
        <f>SUM(BK14:BR14)</f>
        <v>193.20146061386771</v>
      </c>
      <c r="BT14" s="750">
        <f>INDEX('Schedule 1_Enrollment'!$D$12:$K$35,MATCH(BT12,'Schedule 1_Enrollment'!$B$10:$B$31,0)+1,MATCH(IF(BK10="Institutional (All: Tier 1, Tier 2 and Tier 3)","Institutional (All Tiers)",BK10),'Schedule 1_Enrollment'!$D$10:$K$10,0)+IF(BT13="Dual Eligible",1,0))</f>
        <v>3</v>
      </c>
      <c r="BU14" s="748">
        <f>INDEX('Schedule 1_Enrollment'!$D$12:$K$35,MATCH(BT12,'Schedule 1_Enrollment'!$B$10:$B$31,0)+1,MATCH(IF(BK10="Institutional (All: Tier 1, Tier 2 and Tier 3)","Institutional (All Tiers)",BK10),'Schedule 1_Enrollment'!$D$10:$K$10,0)+IF(BU13="Dual Eligible",1,0))</f>
        <v>52.073671113858971</v>
      </c>
      <c r="BV14" s="748">
        <f>INDEX('Schedule 1_Enrollment'!$D$12:$K$35,MATCH(BV12,'Schedule 1_Enrollment'!$B$10:$B$31,0)+1,MATCH(IF(BK10="Institutional (All: Tier 1, Tier 2 and Tier 3)","Institutional (All Tiers)",BK10),'Schedule 1_Enrollment'!$D$10:$K$10,0)+IF(BV13="Dual Eligible",1,0))</f>
        <v>3</v>
      </c>
      <c r="BW14" s="748">
        <f>INDEX('Schedule 1_Enrollment'!$D$12:$K$35,MATCH(BV12,'Schedule 1_Enrollment'!$B$10:$B$31,0)+1,MATCH(IF(BK10="Institutional (All: Tier 1, Tier 2 and Tier 3)","Institutional (All Tiers)",BK10),'Schedule 1_Enrollment'!$D$10:$K$10,0)+IF(BW13="Dual Eligible",1,0))</f>
        <v>42.963657155266901</v>
      </c>
      <c r="BX14" s="748">
        <f>INDEX('Schedule 1_Enrollment'!$D$12:$K$35,MATCH(BX12,'Schedule 1_Enrollment'!$B$10:$B$31,0)+1,MATCH(IF(BK10="Institutional (All: Tier 1, Tier 2 and Tier 3)","Institutional (All Tiers)",BK10),'Schedule 1_Enrollment'!$D$10:$K$10,0)+IF(BX13="Dual Eligible",1,0))</f>
        <v>2.3256022021661988</v>
      </c>
      <c r="BY14" s="748">
        <f>INDEX('Schedule 1_Enrollment'!$D$12:$K$35,MATCH(BX12,'Schedule 1_Enrollment'!$B$10:$B$31,0)+1,MATCH(IF(BK10="Institutional (All: Tier 1, Tier 2 and Tier 3)","Institutional (All Tiers)",BK10),'Schedule 1_Enrollment'!$D$10:$K$10,0)+IF(BY13="Dual Eligible",1,0))</f>
        <v>47.289423696840352</v>
      </c>
      <c r="BZ14" s="748">
        <f>INDEX('Schedule 1_Enrollment'!$D$12:$K$35,MATCH(BZ12,'Schedule 1_Enrollment'!$B$10:$B$31,0)+1,MATCH(IF(BK10="Institutional (All: Tier 1, Tier 2 and Tier 3)","Institutional (All Tiers)",BK10),'Schedule 1_Enrollment'!$D$10:$K$10,0)+IF(BZ13="Dual Eligible",1,0))</f>
        <v>0</v>
      </c>
      <c r="CA14" s="748">
        <f>INDEX('Schedule 1_Enrollment'!$D$12:$K$35,MATCH(BZ12,'Schedule 1_Enrollment'!$B$10:$B$31,0)+1,MATCH(IF(BK10="Institutional (All: Tier 1, Tier 2 and Tier 3)","Institutional (All Tiers)",BK10),'Schedule 1_Enrollment'!$D$10:$K$10,0)+IF(CA13="Dual Eligible",1,0))</f>
        <v>42.549106445735276</v>
      </c>
      <c r="CB14" s="751">
        <f>SUM(BT14:CA14)</f>
        <v>193.20146061386771</v>
      </c>
      <c r="CC14" s="748">
        <f>CB14</f>
        <v>193.20146061386771</v>
      </c>
      <c r="CD14" s="153"/>
      <c r="CE14" s="748">
        <f>+C14+D14+W14+X14+AQ14+AR14+BK14+BL14</f>
        <v>2045.4162658875141</v>
      </c>
      <c r="CF14" s="748">
        <f>+E14+F14+Y14+Z14+AS14+AT14+BM14+BN14</f>
        <v>2172.699349252804</v>
      </c>
      <c r="CG14" s="748">
        <f>+G14+H14+AA14+AB14+AU14+AV14+BO14+BP14</f>
        <v>2389.4486762979027</v>
      </c>
      <c r="CH14" s="748">
        <f>+I14+J14+AC14+AD14+AW14+AX14+BQ14+BR14</f>
        <v>2564.0616070884876</v>
      </c>
      <c r="CI14" s="749">
        <f>SUM(K14,AE14,AY14,BS14)</f>
        <v>9171.6258985267086</v>
      </c>
      <c r="CJ14" s="748">
        <f>L14+M14+AF14+AG14+AZ14+BA14+BT14+BU14</f>
        <v>2045.4162658875141</v>
      </c>
      <c r="CK14" s="748">
        <f>N14+O14+AH14+AI14+BB14+BC14+BV14+BW14</f>
        <v>2172.699349252804</v>
      </c>
      <c r="CL14" s="748">
        <f>P14+Q14+AJ14+AK14+BD14+BE14+BX14+BY14</f>
        <v>2389.4486762979027</v>
      </c>
      <c r="CM14" s="748">
        <f>+R14+S14+AL14+AM14+BF14+BG14+BZ14+CA14</f>
        <v>2564.0616070884876</v>
      </c>
      <c r="CN14" s="749">
        <f>SUM(T14,AN14,BH14,CB14)</f>
        <v>9171.6258985267086</v>
      </c>
      <c r="CO14" s="748">
        <f>+C14+D14+W14+X14+AQ14+AR14+BK14+BL14</f>
        <v>2045.4162658875141</v>
      </c>
      <c r="CP14" s="748">
        <f>+E14+F14+Y14+Z14+AS14+AT14+BM14+BN14</f>
        <v>2172.699349252804</v>
      </c>
      <c r="CQ14" s="748">
        <f>+G14+H14+AA14+AB14+AU14+AV14+BO14+BP14</f>
        <v>2389.4486762979027</v>
      </c>
      <c r="CR14" s="748">
        <f>+I14+J14+AC14+AD14+AW14+AX14+BQ14+BR14</f>
        <v>2564.0616070884876</v>
      </c>
      <c r="CS14" s="749">
        <f t="shared" ref="CS14" si="0">SUM(CC14,BI14,AO14,U14)</f>
        <v>9171.6258985267086</v>
      </c>
    </row>
    <row r="15" spans="1:131" ht="15.75" customHeight="1" x14ac:dyDescent="0.25">
      <c r="A15" s="19" t="s">
        <v>72</v>
      </c>
      <c r="B15" s="213"/>
      <c r="C15" s="112"/>
      <c r="D15" s="112"/>
      <c r="E15" s="112"/>
      <c r="F15" s="112"/>
      <c r="G15" s="112"/>
      <c r="H15" s="112"/>
      <c r="I15" s="112"/>
      <c r="J15" s="112"/>
      <c r="K15" s="423"/>
      <c r="L15" s="424"/>
      <c r="M15" s="112"/>
      <c r="N15" s="112"/>
      <c r="O15" s="112"/>
      <c r="P15" s="112"/>
      <c r="Q15" s="112"/>
      <c r="R15" s="112"/>
      <c r="S15" s="112"/>
      <c r="T15" s="112"/>
      <c r="U15" s="424"/>
      <c r="V15" s="213"/>
      <c r="W15" s="112"/>
      <c r="X15" s="112"/>
      <c r="Y15" s="112"/>
      <c r="Z15" s="112"/>
      <c r="AA15" s="112"/>
      <c r="AB15" s="112"/>
      <c r="AC15" s="112"/>
      <c r="AD15" s="112"/>
      <c r="AE15" s="423"/>
      <c r="AF15" s="424"/>
      <c r="AG15" s="112"/>
      <c r="AH15" s="112"/>
      <c r="AI15" s="112"/>
      <c r="AJ15" s="112"/>
      <c r="AK15" s="112"/>
      <c r="AL15" s="112"/>
      <c r="AM15" s="112"/>
      <c r="AN15" s="112"/>
      <c r="AO15" s="424"/>
      <c r="AP15" s="213"/>
      <c r="AQ15" s="112"/>
      <c r="AR15" s="112"/>
      <c r="AS15" s="112"/>
      <c r="AT15" s="112"/>
      <c r="AU15" s="112"/>
      <c r="AV15" s="112"/>
      <c r="AW15" s="112"/>
      <c r="AX15" s="112"/>
      <c r="AY15" s="423"/>
      <c r="AZ15" s="424"/>
      <c r="BA15" s="112"/>
      <c r="BB15" s="112"/>
      <c r="BC15" s="112"/>
      <c r="BD15" s="112"/>
      <c r="BE15" s="112"/>
      <c r="BF15" s="112"/>
      <c r="BG15" s="112"/>
      <c r="BH15" s="112"/>
      <c r="BI15" s="424"/>
      <c r="BJ15" s="213"/>
      <c r="BK15" s="112"/>
      <c r="BL15" s="112"/>
      <c r="BM15" s="112"/>
      <c r="BN15" s="112"/>
      <c r="BO15" s="112"/>
      <c r="BP15" s="112"/>
      <c r="BQ15" s="112"/>
      <c r="BR15" s="112"/>
      <c r="BS15" s="423"/>
      <c r="BT15" s="424"/>
      <c r="BU15" s="112"/>
      <c r="BV15" s="112"/>
      <c r="BW15" s="112"/>
      <c r="BX15" s="112"/>
      <c r="BY15" s="112"/>
      <c r="BZ15" s="112"/>
      <c r="CA15" s="112"/>
      <c r="CB15" s="112"/>
      <c r="CC15" s="424"/>
      <c r="CD15" s="213"/>
      <c r="CE15" s="219"/>
      <c r="CF15" s="219"/>
      <c r="CG15" s="219"/>
      <c r="CH15" s="219"/>
      <c r="CI15" s="213"/>
      <c r="CJ15" s="219"/>
      <c r="CK15" s="219"/>
      <c r="CL15" s="219"/>
      <c r="CM15" s="219"/>
      <c r="CN15" s="213"/>
      <c r="CO15" s="219"/>
      <c r="CP15" s="219"/>
      <c r="CQ15" s="219"/>
      <c r="CR15" s="219"/>
      <c r="CS15" s="213"/>
    </row>
    <row r="16" spans="1:131" ht="15.75" customHeight="1" x14ac:dyDescent="0.25">
      <c r="A16" s="148" t="s">
        <v>211</v>
      </c>
      <c r="B16" s="343">
        <v>1</v>
      </c>
      <c r="C16" s="259">
        <v>1150819.5300000301</v>
      </c>
      <c r="D16" s="259">
        <v>2181917.8900002399</v>
      </c>
      <c r="E16" s="259">
        <v>1170535.93000003</v>
      </c>
      <c r="F16" s="259">
        <v>2263825.41000026</v>
      </c>
      <c r="G16" s="259">
        <v>1183184.74000004</v>
      </c>
      <c r="H16" s="259">
        <v>2365228.6700002798</v>
      </c>
      <c r="I16" s="259">
        <v>1227627.7600000401</v>
      </c>
      <c r="J16" s="259">
        <v>2386902.3000002801</v>
      </c>
      <c r="K16" s="460">
        <f t="shared" ref="K16:K23" si="1">SUM(C16:J16)</f>
        <v>13930042.2300012</v>
      </c>
      <c r="L16" s="461"/>
      <c r="M16" s="259"/>
      <c r="N16" s="259"/>
      <c r="O16" s="259"/>
      <c r="P16" s="259"/>
      <c r="Q16" s="259"/>
      <c r="R16" s="259"/>
      <c r="S16" s="259"/>
      <c r="T16" s="462">
        <f t="shared" ref="T16:T23" si="2">SUM(L16:S16)</f>
        <v>0</v>
      </c>
      <c r="U16" s="463">
        <f t="shared" ref="U16:U23" si="3">SUM(K16,T16)</f>
        <v>13930042.2300012</v>
      </c>
      <c r="V16" s="343">
        <v>1</v>
      </c>
      <c r="W16" s="259">
        <v>177985.3</v>
      </c>
      <c r="X16" s="259">
        <v>994432.38000001898</v>
      </c>
      <c r="Y16" s="259">
        <v>184949.97</v>
      </c>
      <c r="Z16" s="259">
        <v>947873.12000001804</v>
      </c>
      <c r="AA16" s="259">
        <v>169510.74</v>
      </c>
      <c r="AB16" s="259">
        <v>966824.41000001901</v>
      </c>
      <c r="AC16" s="259">
        <v>180161.79</v>
      </c>
      <c r="AD16" s="259">
        <v>988270.23000001896</v>
      </c>
      <c r="AE16" s="460">
        <f t="shared" ref="AE16:AE23" si="4">SUM(W16:AD16)</f>
        <v>4610007.9400000749</v>
      </c>
      <c r="AF16" s="461"/>
      <c r="AG16" s="259"/>
      <c r="AH16" s="259"/>
      <c r="AI16" s="259"/>
      <c r="AJ16" s="259"/>
      <c r="AK16" s="259"/>
      <c r="AL16" s="259"/>
      <c r="AM16" s="259"/>
      <c r="AN16" s="462">
        <f t="shared" ref="AN16:AN23" si="5">SUM(AF16:AM16)</f>
        <v>0</v>
      </c>
      <c r="AO16" s="463">
        <f t="shared" ref="AO16:AO23" si="6">SUM(AE16,AN16)</f>
        <v>4610007.9400000749</v>
      </c>
      <c r="AP16" s="343">
        <v>1</v>
      </c>
      <c r="AQ16" s="259">
        <v>19100116.4299982</v>
      </c>
      <c r="AR16" s="259">
        <v>43128661.440006398</v>
      </c>
      <c r="AS16" s="259">
        <v>20419911.159998003</v>
      </c>
      <c r="AT16" s="259">
        <v>45563136.970009305</v>
      </c>
      <c r="AU16" s="259">
        <v>21558446.110000599</v>
      </c>
      <c r="AV16" s="259">
        <v>48005613.160017006</v>
      </c>
      <c r="AW16" s="259">
        <v>23376653.940001201</v>
      </c>
      <c r="AX16" s="259">
        <v>50133723.1100199</v>
      </c>
      <c r="AY16" s="460">
        <f t="shared" ref="AY16:AY23" si="7">SUM(AQ16:AX16)</f>
        <v>271286262.3200506</v>
      </c>
      <c r="AZ16" s="461"/>
      <c r="BA16" s="259"/>
      <c r="BB16" s="259"/>
      <c r="BC16" s="259"/>
      <c r="BD16" s="259"/>
      <c r="BE16" s="259"/>
      <c r="BF16" s="259"/>
      <c r="BG16" s="259"/>
      <c r="BH16" s="462">
        <f t="shared" ref="BH16:BH23" si="8">SUM(AZ16:BG16)</f>
        <v>0</v>
      </c>
      <c r="BI16" s="463">
        <f t="shared" ref="BI16:BI23" si="9">SUM(AY16,BH16)</f>
        <v>271286262.3200506</v>
      </c>
      <c r="BJ16" s="343">
        <v>1</v>
      </c>
      <c r="BK16" s="259">
        <v>393663.5</v>
      </c>
      <c r="BL16" s="259">
        <v>4224258.8900000006</v>
      </c>
      <c r="BM16" s="259">
        <v>423256.24</v>
      </c>
      <c r="BN16" s="259">
        <v>4169998.2999999993</v>
      </c>
      <c r="BO16" s="259">
        <v>379270.48000000004</v>
      </c>
      <c r="BP16" s="259">
        <v>4035522.1100000008</v>
      </c>
      <c r="BQ16" s="259">
        <v>484682.4800000001</v>
      </c>
      <c r="BR16" s="259">
        <v>4331255.2100000009</v>
      </c>
      <c r="BS16" s="460">
        <f t="shared" ref="BS16:BS23" si="10">SUM(BK16:BR16)</f>
        <v>18441907.210000001</v>
      </c>
      <c r="BT16" s="461">
        <v>0</v>
      </c>
      <c r="BU16" s="259">
        <v>0</v>
      </c>
      <c r="BV16" s="259">
        <v>0</v>
      </c>
      <c r="BW16" s="259">
        <v>0</v>
      </c>
      <c r="BX16" s="259">
        <v>0</v>
      </c>
      <c r="BY16" s="259">
        <v>0</v>
      </c>
      <c r="BZ16" s="259">
        <v>0</v>
      </c>
      <c r="CA16" s="259">
        <v>0</v>
      </c>
      <c r="CB16" s="462">
        <f t="shared" ref="CB16:CB23" si="11">SUM(BT16:CA16)</f>
        <v>0</v>
      </c>
      <c r="CC16" s="463">
        <f t="shared" ref="CC16:CC23" si="12">SUM(BS16,CB16)</f>
        <v>18441907.210000001</v>
      </c>
      <c r="CD16" s="343">
        <v>1</v>
      </c>
      <c r="CE16" s="462">
        <f>+C16+D16+W16+X16+AQ16+AR16+BK16+BL16</f>
        <v>71351855.360004887</v>
      </c>
      <c r="CF16" s="462">
        <f>+E16+F16+Y16+Z16+AS16+AT16+BM16+BN16</f>
        <v>75143487.100007609</v>
      </c>
      <c r="CG16" s="462">
        <f>+G16+H16+AA16+AB16+AU16+AV16+BO16+BP16</f>
        <v>78663600.420017943</v>
      </c>
      <c r="CH16" s="462">
        <f>+I16+J16+AC16+AD16+AW16+AX16+BQ16+BR16</f>
        <v>83109276.820021451</v>
      </c>
      <c r="CI16" s="464">
        <f>SUM(K16,AE16,AY16,BS16)</f>
        <v>308268219.70005184</v>
      </c>
      <c r="CJ16" s="462">
        <f>L16+M16+AF16+AG16+AZ16+BA16+BT16+BU16</f>
        <v>0</v>
      </c>
      <c r="CK16" s="462">
        <f>N16+O16+AH16+AI16+BB16+BC16+BV16+BW16</f>
        <v>0</v>
      </c>
      <c r="CL16" s="462">
        <f>P16+Q16+AJ16+AK16+BD16+BE16+BX16+BY16</f>
        <v>0</v>
      </c>
      <c r="CM16" s="462">
        <f>+R16+S16+AL16+AM16+BF16+BG16+BZ16+CA16</f>
        <v>0</v>
      </c>
      <c r="CN16" s="464">
        <f>SUM(T16,AN16,BH16,CB16)</f>
        <v>0</v>
      </c>
      <c r="CO16" s="462">
        <f>+C16+D16+L16+M16+W16+X16+AF16+AG16+AQ16+AR16+AZ16+BA16+BK16+BL16+BT16+BU16</f>
        <v>71351855.360004887</v>
      </c>
      <c r="CP16" s="462">
        <f>+E16+F16+N16+O16+Y16+Z16+AH16+AI16+AS16+AT16+BB16+BC16+BM16+BN16+BV16+BW16</f>
        <v>75143487.100007609</v>
      </c>
      <c r="CQ16" s="462">
        <f>+G16+H16+P16+Q16+AA16+AB16+AJ16+AK16+AU16+AV16+BD16+BE16+BO16+BP16+BX16+BY16</f>
        <v>78663600.420017943</v>
      </c>
      <c r="CR16" s="462">
        <f>+I16+J16+R16+S16+AC16+AD16+AL16+AM16+AW16+AX16+BF16+BG16+BQ16+BR16+BZ16+CA16</f>
        <v>83109276.820021451</v>
      </c>
      <c r="CS16" s="464">
        <f t="shared" ref="CS16" si="13">SUM(CC16,BI16,AO16,U16)</f>
        <v>308268219.70005184</v>
      </c>
      <c r="CT16" s="362"/>
      <c r="CU16" s="362"/>
      <c r="CV16" s="362"/>
      <c r="CW16" s="362"/>
      <c r="CX16" s="362"/>
    </row>
    <row r="17" spans="1:131" ht="15.75" customHeight="1" x14ac:dyDescent="0.25">
      <c r="A17" s="94" t="s">
        <v>233</v>
      </c>
      <c r="B17" s="343"/>
      <c r="C17" s="259"/>
      <c r="D17" s="259"/>
      <c r="E17" s="259"/>
      <c r="F17" s="259"/>
      <c r="G17" s="259"/>
      <c r="H17" s="259"/>
      <c r="I17" s="259"/>
      <c r="J17" s="259"/>
      <c r="K17" s="460">
        <f t="shared" si="1"/>
        <v>0</v>
      </c>
      <c r="L17" s="465"/>
      <c r="M17" s="257">
        <v>4916605.7079999801</v>
      </c>
      <c r="N17" s="257">
        <v>0</v>
      </c>
      <c r="O17" s="257">
        <v>4431956.0081999898</v>
      </c>
      <c r="P17" s="257">
        <v>0</v>
      </c>
      <c r="Q17" s="257">
        <v>4830801.3767999699</v>
      </c>
      <c r="R17" s="257">
        <v>0</v>
      </c>
      <c r="S17" s="257">
        <v>4845375.9466000004</v>
      </c>
      <c r="T17" s="462">
        <f t="shared" si="2"/>
        <v>19024739.03959994</v>
      </c>
      <c r="U17" s="463">
        <f t="shared" si="3"/>
        <v>19024739.03959994</v>
      </c>
      <c r="V17" s="343"/>
      <c r="W17" s="259"/>
      <c r="X17" s="259"/>
      <c r="Y17" s="259"/>
      <c r="Z17" s="259"/>
      <c r="AA17" s="259"/>
      <c r="AB17" s="259"/>
      <c r="AC17" s="259"/>
      <c r="AD17" s="259"/>
      <c r="AE17" s="460">
        <f t="shared" si="4"/>
        <v>0</v>
      </c>
      <c r="AF17" s="465"/>
      <c r="AG17" s="257">
        <v>1514470.5771999999</v>
      </c>
      <c r="AH17" s="257">
        <v>0</v>
      </c>
      <c r="AI17" s="257">
        <v>1190185.3236</v>
      </c>
      <c r="AJ17" s="257">
        <v>0</v>
      </c>
      <c r="AK17" s="257">
        <v>1277805.1146</v>
      </c>
      <c r="AL17" s="257">
        <v>0</v>
      </c>
      <c r="AM17" s="257">
        <v>1265416.0722000001</v>
      </c>
      <c r="AN17" s="462">
        <f t="shared" si="5"/>
        <v>5247877.0876000002</v>
      </c>
      <c r="AO17" s="463">
        <f t="shared" si="6"/>
        <v>5247877.0876000002</v>
      </c>
      <c r="AP17" s="343"/>
      <c r="AQ17" s="259">
        <v>0</v>
      </c>
      <c r="AR17" s="259">
        <v>0</v>
      </c>
      <c r="AS17" s="259">
        <v>0</v>
      </c>
      <c r="AT17" s="259">
        <v>0</v>
      </c>
      <c r="AU17" s="259">
        <v>0</v>
      </c>
      <c r="AV17" s="259">
        <v>0</v>
      </c>
      <c r="AW17" s="259">
        <v>0</v>
      </c>
      <c r="AX17" s="259">
        <v>0</v>
      </c>
      <c r="AY17" s="460">
        <f t="shared" si="7"/>
        <v>0</v>
      </c>
      <c r="AZ17" s="465">
        <v>0</v>
      </c>
      <c r="BA17" s="257">
        <v>37739921.696399599</v>
      </c>
      <c r="BB17" s="257">
        <v>0</v>
      </c>
      <c r="BC17" s="257">
        <v>30498109.884199198</v>
      </c>
      <c r="BD17" s="257">
        <v>0</v>
      </c>
      <c r="BE17" s="257">
        <v>34860411.461399794</v>
      </c>
      <c r="BF17" s="257">
        <v>0</v>
      </c>
      <c r="BG17" s="257">
        <v>35023581.735799804</v>
      </c>
      <c r="BH17" s="462">
        <f t="shared" si="8"/>
        <v>138122024.77779841</v>
      </c>
      <c r="BI17" s="463">
        <f t="shared" si="9"/>
        <v>138122024.77779841</v>
      </c>
      <c r="BJ17" s="343"/>
      <c r="BK17" s="259"/>
      <c r="BL17" s="259"/>
      <c r="BM17" s="259"/>
      <c r="BN17" s="259"/>
      <c r="BO17" s="259"/>
      <c r="BP17" s="259"/>
      <c r="BQ17" s="259"/>
      <c r="BR17" s="259"/>
      <c r="BS17" s="460">
        <f t="shared" si="10"/>
        <v>0</v>
      </c>
      <c r="BT17" s="465">
        <v>0</v>
      </c>
      <c r="BU17" s="257">
        <v>1356603.416</v>
      </c>
      <c r="BV17" s="257">
        <v>0</v>
      </c>
      <c r="BW17" s="257">
        <v>1155176.0682000001</v>
      </c>
      <c r="BX17" s="257">
        <v>0</v>
      </c>
      <c r="BY17" s="257">
        <v>1258699.6520000002</v>
      </c>
      <c r="BZ17" s="257">
        <v>0</v>
      </c>
      <c r="CA17" s="257">
        <v>1547924.6804000002</v>
      </c>
      <c r="CB17" s="462">
        <f t="shared" si="11"/>
        <v>5318403.8166000005</v>
      </c>
      <c r="CC17" s="463">
        <f t="shared" si="12"/>
        <v>5318403.8166000005</v>
      </c>
      <c r="CD17" s="343"/>
      <c r="CE17" s="462">
        <f t="shared" ref="CE17:CE23" si="14">+C17+D17+W17+X17+AQ17+AR17+BK17+BL17</f>
        <v>0</v>
      </c>
      <c r="CF17" s="462">
        <f t="shared" ref="CF17:CF23" si="15">+E17+F17+Y17+Z17+AS17+AT17+BM17+BN17</f>
        <v>0</v>
      </c>
      <c r="CG17" s="462">
        <f t="shared" ref="CG17:CG23" si="16">+G17+H17+AA17+AB17+AU17+AV17+BO17+BP17</f>
        <v>0</v>
      </c>
      <c r="CH17" s="462">
        <f t="shared" ref="CH17:CH23" si="17">+I17+J17+AC17+AD17+AW17+AX17+BQ17+BR17</f>
        <v>0</v>
      </c>
      <c r="CI17" s="464">
        <f t="shared" ref="CI17:CI23" si="18">SUM(K17,AE17,AY17,BS17)</f>
        <v>0</v>
      </c>
      <c r="CJ17" s="462">
        <f t="shared" ref="CJ17:CJ23" si="19">L17+M17+AF17+AG17+AZ17+BA17+BT17+BU17</f>
        <v>45527601.397599578</v>
      </c>
      <c r="CK17" s="462">
        <f t="shared" ref="CK17:CK23" si="20">N17+O17+AH17+AI17+BB17+BC17+BV17+BW17</f>
        <v>37275427.284199186</v>
      </c>
      <c r="CL17" s="462">
        <f t="shared" ref="CL17:CL23" si="21">P17+Q17+AJ17+AK17+BD17+BE17+BX17+BY17</f>
        <v>42227717.60479977</v>
      </c>
      <c r="CM17" s="462">
        <f t="shared" ref="CM17:CM23" si="22">+R17+S17+AL17+AM17+BF17+BG17+BZ17+CA17</f>
        <v>42682298.434999801</v>
      </c>
      <c r="CN17" s="464">
        <f t="shared" ref="CN17:CN23" si="23">SUM(T17,AN17,BH17,CB17)</f>
        <v>167713044.72159836</v>
      </c>
      <c r="CO17" s="462">
        <f t="shared" ref="CO17:CO23" si="24">+C17+D17+L17+M17+W17+X17+AF17+AG17+AQ17+AR17+AZ17+BA17+BK17+BL17+BT17+BU17</f>
        <v>45527601.397599578</v>
      </c>
      <c r="CP17" s="462">
        <f t="shared" ref="CP17:CP23" si="25">+E17+F17+N17+O17+Y17+Z17+AH17+AI17+AS17+AT17+BB17+BC17+BM17+BN17+BV17+BW17</f>
        <v>37275427.284199186</v>
      </c>
      <c r="CQ17" s="462">
        <f t="shared" ref="CQ17:CQ23" si="26">+G17+H17+P17+Q17+AA17+AB17+AJ17+AK17+AU17+AV17+BD17+BE17+BO17+BP17+BX17+BY17</f>
        <v>42227717.60479977</v>
      </c>
      <c r="CR17" s="462">
        <f t="shared" ref="CR17:CR23" si="27">+I17+J17+R17+S17+AC17+AD17+AL17+AM17+AW17+AX17+BF17+BG17+BQ17+BR17+BZ17+CA17</f>
        <v>42682298.434999801</v>
      </c>
      <c r="CS17" s="464">
        <f t="shared" ref="CS17:CS23" si="28">SUM(CC17,BI17,AO17,U17)</f>
        <v>167713044.72159833</v>
      </c>
      <c r="CT17" s="362"/>
      <c r="CV17" s="362"/>
      <c r="CX17" s="362"/>
    </row>
    <row r="18" spans="1:131" ht="15.75" customHeight="1" x14ac:dyDescent="0.25">
      <c r="A18" s="94" t="s">
        <v>212</v>
      </c>
      <c r="B18" s="343"/>
      <c r="C18" s="257"/>
      <c r="D18" s="257"/>
      <c r="E18" s="257"/>
      <c r="F18" s="257"/>
      <c r="G18" s="257"/>
      <c r="H18" s="257"/>
      <c r="I18" s="257"/>
      <c r="J18" s="257"/>
      <c r="K18" s="460">
        <f t="shared" si="1"/>
        <v>0</v>
      </c>
      <c r="L18" s="465"/>
      <c r="M18" s="257">
        <v>159225.17659999899</v>
      </c>
      <c r="N18" s="257">
        <v>0</v>
      </c>
      <c r="O18" s="257">
        <v>112742.80640000101</v>
      </c>
      <c r="P18" s="257">
        <v>0</v>
      </c>
      <c r="Q18" s="257">
        <v>127690.80520000101</v>
      </c>
      <c r="R18" s="257">
        <v>0</v>
      </c>
      <c r="S18" s="257">
        <v>121509.249400001</v>
      </c>
      <c r="T18" s="462">
        <f t="shared" si="2"/>
        <v>521168.03760000202</v>
      </c>
      <c r="U18" s="463">
        <f t="shared" si="3"/>
        <v>521168.03760000202</v>
      </c>
      <c r="V18" s="343"/>
      <c r="W18" s="257"/>
      <c r="X18" s="257"/>
      <c r="Y18" s="257"/>
      <c r="Z18" s="257"/>
      <c r="AA18" s="257"/>
      <c r="AB18" s="257"/>
      <c r="AC18" s="257"/>
      <c r="AD18" s="257"/>
      <c r="AE18" s="460">
        <f t="shared" si="4"/>
        <v>0</v>
      </c>
      <c r="AF18" s="465"/>
      <c r="AG18" s="257">
        <v>55857.520599999902</v>
      </c>
      <c r="AH18" s="257">
        <v>0</v>
      </c>
      <c r="AI18" s="257">
        <v>39988.066999999901</v>
      </c>
      <c r="AJ18" s="257">
        <v>0</v>
      </c>
      <c r="AK18" s="257">
        <v>44346.283799999903</v>
      </c>
      <c r="AL18" s="257">
        <v>0</v>
      </c>
      <c r="AM18" s="257">
        <v>42800.441599999802</v>
      </c>
      <c r="AN18" s="462">
        <f t="shared" si="5"/>
        <v>182992.3129999995</v>
      </c>
      <c r="AO18" s="463">
        <f t="shared" si="6"/>
        <v>182992.3129999995</v>
      </c>
      <c r="AP18" s="343"/>
      <c r="AQ18" s="257"/>
      <c r="AR18" s="257"/>
      <c r="AS18" s="257"/>
      <c r="AT18" s="257"/>
      <c r="AU18" s="257"/>
      <c r="AV18" s="257"/>
      <c r="AW18" s="257"/>
      <c r="AX18" s="257"/>
      <c r="AY18" s="460">
        <f t="shared" si="7"/>
        <v>0</v>
      </c>
      <c r="AZ18" s="465">
        <v>0</v>
      </c>
      <c r="BA18" s="257">
        <v>1114816.5322</v>
      </c>
      <c r="BB18" s="257">
        <v>0</v>
      </c>
      <c r="BC18" s="257">
        <v>865051.66440000397</v>
      </c>
      <c r="BD18" s="257">
        <v>0</v>
      </c>
      <c r="BE18" s="257">
        <v>979918.52280000201</v>
      </c>
      <c r="BF18" s="257">
        <v>0</v>
      </c>
      <c r="BG18" s="257">
        <v>957468.72200000403</v>
      </c>
      <c r="BH18" s="462">
        <f t="shared" si="8"/>
        <v>3917255.4414000101</v>
      </c>
      <c r="BI18" s="463">
        <f t="shared" si="9"/>
        <v>3917255.4414000101</v>
      </c>
      <c r="BJ18" s="343"/>
      <c r="BK18" s="257"/>
      <c r="BL18" s="257"/>
      <c r="BM18" s="257"/>
      <c r="BN18" s="257"/>
      <c r="BO18" s="257"/>
      <c r="BP18" s="257"/>
      <c r="BQ18" s="257"/>
      <c r="BR18" s="257"/>
      <c r="BS18" s="460">
        <f t="shared" si="10"/>
        <v>0</v>
      </c>
      <c r="BT18" s="465">
        <v>0</v>
      </c>
      <c r="BU18" s="257">
        <v>46967.235000000001</v>
      </c>
      <c r="BV18" s="257">
        <v>0</v>
      </c>
      <c r="BW18" s="257">
        <v>40493.658799999997</v>
      </c>
      <c r="BX18" s="257">
        <v>0</v>
      </c>
      <c r="BY18" s="257">
        <v>42585.076799999995</v>
      </c>
      <c r="BZ18" s="257">
        <v>0</v>
      </c>
      <c r="CA18" s="257">
        <v>39612.070399999997</v>
      </c>
      <c r="CB18" s="462">
        <f t="shared" si="11"/>
        <v>169658.04099999997</v>
      </c>
      <c r="CC18" s="463">
        <f t="shared" si="12"/>
        <v>169658.04099999997</v>
      </c>
      <c r="CD18" s="343"/>
      <c r="CE18" s="462">
        <f t="shared" si="14"/>
        <v>0</v>
      </c>
      <c r="CF18" s="462">
        <f t="shared" si="15"/>
        <v>0</v>
      </c>
      <c r="CG18" s="462">
        <f t="shared" si="16"/>
        <v>0</v>
      </c>
      <c r="CH18" s="462">
        <f t="shared" si="17"/>
        <v>0</v>
      </c>
      <c r="CI18" s="464">
        <f t="shared" si="18"/>
        <v>0</v>
      </c>
      <c r="CJ18" s="462">
        <f t="shared" si="19"/>
        <v>1376866.464399999</v>
      </c>
      <c r="CK18" s="462">
        <f t="shared" si="20"/>
        <v>1058276.196600005</v>
      </c>
      <c r="CL18" s="462">
        <f t="shared" si="21"/>
        <v>1194540.6886000028</v>
      </c>
      <c r="CM18" s="462">
        <f t="shared" si="22"/>
        <v>1161390.4834000049</v>
      </c>
      <c r="CN18" s="464">
        <f t="shared" si="23"/>
        <v>4791073.8330000117</v>
      </c>
      <c r="CO18" s="462">
        <f t="shared" si="24"/>
        <v>1376866.464399999</v>
      </c>
      <c r="CP18" s="462">
        <f t="shared" si="25"/>
        <v>1058276.196600005</v>
      </c>
      <c r="CQ18" s="462">
        <f t="shared" si="26"/>
        <v>1194540.6886000028</v>
      </c>
      <c r="CR18" s="462">
        <f t="shared" si="27"/>
        <v>1161390.4834000049</v>
      </c>
      <c r="CS18" s="464">
        <f t="shared" si="28"/>
        <v>4791073.8330000117</v>
      </c>
      <c r="CV18" s="362"/>
      <c r="CX18" s="362"/>
    </row>
    <row r="19" spans="1:131" ht="15.75" customHeight="1" x14ac:dyDescent="0.25">
      <c r="A19" s="94" t="s">
        <v>213</v>
      </c>
      <c r="B19" s="343"/>
      <c r="C19" s="257"/>
      <c r="D19" s="257"/>
      <c r="E19" s="257"/>
      <c r="F19" s="257"/>
      <c r="G19" s="257"/>
      <c r="H19" s="257"/>
      <c r="I19" s="257"/>
      <c r="J19" s="257"/>
      <c r="K19" s="460">
        <f t="shared" si="1"/>
        <v>0</v>
      </c>
      <c r="L19" s="465"/>
      <c r="M19" s="257">
        <v>664807</v>
      </c>
      <c r="N19" s="257">
        <v>0</v>
      </c>
      <c r="O19" s="257">
        <v>763265</v>
      </c>
      <c r="P19" s="257">
        <v>0</v>
      </c>
      <c r="Q19" s="257">
        <v>1043946</v>
      </c>
      <c r="R19" s="257">
        <v>0</v>
      </c>
      <c r="S19" s="257">
        <v>1164546</v>
      </c>
      <c r="T19" s="462">
        <f t="shared" si="2"/>
        <v>3636564</v>
      </c>
      <c r="U19" s="463">
        <f t="shared" si="3"/>
        <v>3636564</v>
      </c>
      <c r="V19" s="343"/>
      <c r="W19" s="257"/>
      <c r="X19" s="257"/>
      <c r="Y19" s="257"/>
      <c r="Z19" s="257"/>
      <c r="AA19" s="257"/>
      <c r="AB19" s="257"/>
      <c r="AC19" s="257"/>
      <c r="AD19" s="257"/>
      <c r="AE19" s="460">
        <f t="shared" si="4"/>
        <v>0</v>
      </c>
      <c r="AF19" s="465"/>
      <c r="AG19" s="257">
        <v>325962</v>
      </c>
      <c r="AH19" s="257">
        <v>0</v>
      </c>
      <c r="AI19" s="257">
        <v>285567</v>
      </c>
      <c r="AJ19" s="257">
        <v>0</v>
      </c>
      <c r="AK19" s="257">
        <v>304052</v>
      </c>
      <c r="AL19" s="257">
        <v>0</v>
      </c>
      <c r="AM19" s="257">
        <v>354283</v>
      </c>
      <c r="AN19" s="462">
        <f t="shared" si="5"/>
        <v>1269864</v>
      </c>
      <c r="AO19" s="463">
        <f t="shared" si="6"/>
        <v>1269864</v>
      </c>
      <c r="AP19" s="343"/>
      <c r="AQ19" s="257"/>
      <c r="AR19" s="257"/>
      <c r="AS19" s="257"/>
      <c r="AT19" s="257"/>
      <c r="AU19" s="257"/>
      <c r="AV19" s="257"/>
      <c r="AW19" s="257"/>
      <c r="AX19" s="257"/>
      <c r="AY19" s="460">
        <f t="shared" si="7"/>
        <v>0</v>
      </c>
      <c r="AZ19" s="465">
        <v>0</v>
      </c>
      <c r="BA19" s="257">
        <v>5644145</v>
      </c>
      <c r="BB19" s="257">
        <v>0</v>
      </c>
      <c r="BC19" s="257">
        <v>6253389</v>
      </c>
      <c r="BD19" s="257">
        <v>0</v>
      </c>
      <c r="BE19" s="257">
        <v>7275783</v>
      </c>
      <c r="BF19" s="257">
        <v>0</v>
      </c>
      <c r="BG19" s="257">
        <v>7853027</v>
      </c>
      <c r="BH19" s="462">
        <f t="shared" si="8"/>
        <v>27026344</v>
      </c>
      <c r="BI19" s="463">
        <f t="shared" si="9"/>
        <v>27026344</v>
      </c>
      <c r="BJ19" s="343"/>
      <c r="BK19" s="257"/>
      <c r="BL19" s="257"/>
      <c r="BM19" s="257"/>
      <c r="BN19" s="257"/>
      <c r="BO19" s="257"/>
      <c r="BP19" s="257"/>
      <c r="BQ19" s="257"/>
      <c r="BR19" s="257"/>
      <c r="BS19" s="460">
        <f t="shared" si="10"/>
        <v>0</v>
      </c>
      <c r="BT19" s="465">
        <v>0</v>
      </c>
      <c r="BU19" s="257">
        <v>129281</v>
      </c>
      <c r="BV19" s="257">
        <v>0</v>
      </c>
      <c r="BW19" s="257">
        <v>135808</v>
      </c>
      <c r="BX19" s="257">
        <v>0</v>
      </c>
      <c r="BY19" s="257">
        <v>130936</v>
      </c>
      <c r="BZ19" s="257">
        <v>0</v>
      </c>
      <c r="CA19" s="257">
        <v>116384</v>
      </c>
      <c r="CB19" s="462">
        <f t="shared" si="11"/>
        <v>512409</v>
      </c>
      <c r="CC19" s="463">
        <f t="shared" si="12"/>
        <v>512409</v>
      </c>
      <c r="CD19" s="343"/>
      <c r="CE19" s="462">
        <f t="shared" si="14"/>
        <v>0</v>
      </c>
      <c r="CF19" s="462">
        <f t="shared" si="15"/>
        <v>0</v>
      </c>
      <c r="CG19" s="462">
        <f t="shared" si="16"/>
        <v>0</v>
      </c>
      <c r="CH19" s="462">
        <f t="shared" si="17"/>
        <v>0</v>
      </c>
      <c r="CI19" s="464">
        <f t="shared" si="18"/>
        <v>0</v>
      </c>
      <c r="CJ19" s="462">
        <f t="shared" si="19"/>
        <v>6764195</v>
      </c>
      <c r="CK19" s="462">
        <f t="shared" si="20"/>
        <v>7438029</v>
      </c>
      <c r="CL19" s="462">
        <f t="shared" si="21"/>
        <v>8754717</v>
      </c>
      <c r="CM19" s="462">
        <f t="shared" si="22"/>
        <v>9488240</v>
      </c>
      <c r="CN19" s="464">
        <f t="shared" si="23"/>
        <v>32445181</v>
      </c>
      <c r="CO19" s="462">
        <f t="shared" si="24"/>
        <v>6764195</v>
      </c>
      <c r="CP19" s="462">
        <f t="shared" si="25"/>
        <v>7438029</v>
      </c>
      <c r="CQ19" s="462">
        <f t="shared" si="26"/>
        <v>8754717</v>
      </c>
      <c r="CR19" s="462">
        <f t="shared" si="27"/>
        <v>9488240</v>
      </c>
      <c r="CS19" s="464">
        <f t="shared" si="28"/>
        <v>32445181</v>
      </c>
    </row>
    <row r="20" spans="1:131" ht="15.75" customHeight="1" x14ac:dyDescent="0.25">
      <c r="A20" s="148" t="s">
        <v>210</v>
      </c>
      <c r="B20" s="343">
        <v>2</v>
      </c>
      <c r="C20" s="258">
        <f t="shared" ref="C20:J20" si="29">SUM(C17:C19)</f>
        <v>0</v>
      </c>
      <c r="D20" s="258">
        <f t="shared" si="29"/>
        <v>0</v>
      </c>
      <c r="E20" s="258">
        <f t="shared" si="29"/>
        <v>0</v>
      </c>
      <c r="F20" s="258">
        <f t="shared" si="29"/>
        <v>0</v>
      </c>
      <c r="G20" s="258">
        <f t="shared" si="29"/>
        <v>0</v>
      </c>
      <c r="H20" s="258">
        <f t="shared" si="29"/>
        <v>0</v>
      </c>
      <c r="I20" s="258">
        <f t="shared" si="29"/>
        <v>0</v>
      </c>
      <c r="J20" s="258">
        <f t="shared" si="29"/>
        <v>0</v>
      </c>
      <c r="K20" s="460">
        <f t="shared" si="1"/>
        <v>0</v>
      </c>
      <c r="L20" s="466">
        <f t="shared" ref="L20:S20" si="30">SUM(L17:L19)</f>
        <v>0</v>
      </c>
      <c r="M20" s="258">
        <f t="shared" si="30"/>
        <v>5740637.884599979</v>
      </c>
      <c r="N20" s="258">
        <f t="shared" si="30"/>
        <v>0</v>
      </c>
      <c r="O20" s="258">
        <f t="shared" si="30"/>
        <v>5307963.8145999908</v>
      </c>
      <c r="P20" s="258">
        <f t="shared" si="30"/>
        <v>0</v>
      </c>
      <c r="Q20" s="258">
        <f t="shared" si="30"/>
        <v>6002438.1819999712</v>
      </c>
      <c r="R20" s="258">
        <f t="shared" si="30"/>
        <v>0</v>
      </c>
      <c r="S20" s="258">
        <f t="shared" si="30"/>
        <v>6131431.1960000014</v>
      </c>
      <c r="T20" s="462">
        <f t="shared" si="2"/>
        <v>23182471.077199943</v>
      </c>
      <c r="U20" s="463">
        <f t="shared" si="3"/>
        <v>23182471.077199943</v>
      </c>
      <c r="V20" s="343">
        <v>2</v>
      </c>
      <c r="W20" s="258">
        <f t="shared" ref="W20:AD20" si="31">SUM(W17:W19)</f>
        <v>0</v>
      </c>
      <c r="X20" s="258">
        <f t="shared" si="31"/>
        <v>0</v>
      </c>
      <c r="Y20" s="258">
        <f t="shared" si="31"/>
        <v>0</v>
      </c>
      <c r="Z20" s="258">
        <f t="shared" si="31"/>
        <v>0</v>
      </c>
      <c r="AA20" s="258">
        <f t="shared" si="31"/>
        <v>0</v>
      </c>
      <c r="AB20" s="258">
        <f t="shared" si="31"/>
        <v>0</v>
      </c>
      <c r="AC20" s="258">
        <f t="shared" si="31"/>
        <v>0</v>
      </c>
      <c r="AD20" s="258">
        <f t="shared" si="31"/>
        <v>0</v>
      </c>
      <c r="AE20" s="460">
        <f t="shared" si="4"/>
        <v>0</v>
      </c>
      <c r="AF20" s="466">
        <f t="shared" ref="AF20:AM20" si="32">SUM(AF17:AF19)</f>
        <v>0</v>
      </c>
      <c r="AG20" s="258">
        <f t="shared" si="32"/>
        <v>1896290.0977999999</v>
      </c>
      <c r="AH20" s="258">
        <f t="shared" si="32"/>
        <v>0</v>
      </c>
      <c r="AI20" s="258">
        <f t="shared" si="32"/>
        <v>1515740.3905999998</v>
      </c>
      <c r="AJ20" s="258">
        <f t="shared" si="32"/>
        <v>0</v>
      </c>
      <c r="AK20" s="258">
        <f t="shared" si="32"/>
        <v>1626203.3983999998</v>
      </c>
      <c r="AL20" s="258">
        <f t="shared" si="32"/>
        <v>0</v>
      </c>
      <c r="AM20" s="258">
        <f t="shared" si="32"/>
        <v>1662499.5137999998</v>
      </c>
      <c r="AN20" s="462">
        <f t="shared" si="5"/>
        <v>6700733.4005999994</v>
      </c>
      <c r="AO20" s="463">
        <f t="shared" si="6"/>
        <v>6700733.4005999994</v>
      </c>
      <c r="AP20" s="343">
        <v>2</v>
      </c>
      <c r="AQ20" s="258">
        <f t="shared" ref="AQ20:AX20" si="33">SUM(AQ17:AQ19)</f>
        <v>0</v>
      </c>
      <c r="AR20" s="258">
        <f t="shared" si="33"/>
        <v>0</v>
      </c>
      <c r="AS20" s="258">
        <f t="shared" si="33"/>
        <v>0</v>
      </c>
      <c r="AT20" s="258">
        <f t="shared" si="33"/>
        <v>0</v>
      </c>
      <c r="AU20" s="258">
        <f t="shared" si="33"/>
        <v>0</v>
      </c>
      <c r="AV20" s="258">
        <f t="shared" si="33"/>
        <v>0</v>
      </c>
      <c r="AW20" s="258">
        <f t="shared" si="33"/>
        <v>0</v>
      </c>
      <c r="AX20" s="258">
        <f t="shared" si="33"/>
        <v>0</v>
      </c>
      <c r="AY20" s="460">
        <f t="shared" si="7"/>
        <v>0</v>
      </c>
      <c r="AZ20" s="466">
        <f t="shared" ref="AZ20:BG20" si="34">SUM(AZ17:AZ19)</f>
        <v>0</v>
      </c>
      <c r="BA20" s="258">
        <f t="shared" si="34"/>
        <v>44498883.2285996</v>
      </c>
      <c r="BB20" s="258">
        <f t="shared" si="34"/>
        <v>0</v>
      </c>
      <c r="BC20" s="258">
        <f t="shared" si="34"/>
        <v>37616550.548599198</v>
      </c>
      <c r="BD20" s="258">
        <f t="shared" si="34"/>
        <v>0</v>
      </c>
      <c r="BE20" s="258">
        <f t="shared" si="34"/>
        <v>43116112.984199792</v>
      </c>
      <c r="BF20" s="258">
        <f t="shared" si="34"/>
        <v>0</v>
      </c>
      <c r="BG20" s="258">
        <f t="shared" si="34"/>
        <v>43834077.457799807</v>
      </c>
      <c r="BH20" s="462">
        <f t="shared" si="8"/>
        <v>169065624.21919841</v>
      </c>
      <c r="BI20" s="463">
        <f t="shared" si="9"/>
        <v>169065624.21919841</v>
      </c>
      <c r="BJ20" s="343">
        <v>2</v>
      </c>
      <c r="BK20" s="258">
        <f t="shared" ref="BK20:BR20" si="35">SUM(BK17:BK19)</f>
        <v>0</v>
      </c>
      <c r="BL20" s="258">
        <f t="shared" si="35"/>
        <v>0</v>
      </c>
      <c r="BM20" s="258">
        <f t="shared" si="35"/>
        <v>0</v>
      </c>
      <c r="BN20" s="258">
        <f t="shared" si="35"/>
        <v>0</v>
      </c>
      <c r="BO20" s="258">
        <f t="shared" si="35"/>
        <v>0</v>
      </c>
      <c r="BP20" s="258">
        <f t="shared" si="35"/>
        <v>0</v>
      </c>
      <c r="BQ20" s="258">
        <f t="shared" si="35"/>
        <v>0</v>
      </c>
      <c r="BR20" s="258">
        <f t="shared" si="35"/>
        <v>0</v>
      </c>
      <c r="BS20" s="460">
        <f t="shared" si="10"/>
        <v>0</v>
      </c>
      <c r="BT20" s="466">
        <f t="shared" ref="BT20:CA20" si="36">SUM(BT17:BT19)</f>
        <v>0</v>
      </c>
      <c r="BU20" s="258">
        <f t="shared" si="36"/>
        <v>1532851.6510000001</v>
      </c>
      <c r="BV20" s="258">
        <f t="shared" si="36"/>
        <v>0</v>
      </c>
      <c r="BW20" s="258">
        <f t="shared" si="36"/>
        <v>1331477.7270000002</v>
      </c>
      <c r="BX20" s="258">
        <f t="shared" si="36"/>
        <v>0</v>
      </c>
      <c r="BY20" s="258">
        <f t="shared" si="36"/>
        <v>1432220.7288000002</v>
      </c>
      <c r="BZ20" s="258">
        <f t="shared" si="36"/>
        <v>0</v>
      </c>
      <c r="CA20" s="258">
        <f t="shared" si="36"/>
        <v>1703920.7508000003</v>
      </c>
      <c r="CB20" s="462">
        <f t="shared" si="11"/>
        <v>6000470.8576000016</v>
      </c>
      <c r="CC20" s="463">
        <f t="shared" si="12"/>
        <v>6000470.8576000016</v>
      </c>
      <c r="CD20" s="343">
        <v>2</v>
      </c>
      <c r="CE20" s="462">
        <f t="shared" si="14"/>
        <v>0</v>
      </c>
      <c r="CF20" s="462">
        <f t="shared" si="15"/>
        <v>0</v>
      </c>
      <c r="CG20" s="462">
        <f t="shared" si="16"/>
        <v>0</v>
      </c>
      <c r="CH20" s="462">
        <f t="shared" si="17"/>
        <v>0</v>
      </c>
      <c r="CI20" s="464">
        <f t="shared" si="18"/>
        <v>0</v>
      </c>
      <c r="CJ20" s="462">
        <f t="shared" si="19"/>
        <v>53668662.861999579</v>
      </c>
      <c r="CK20" s="462">
        <f t="shared" si="20"/>
        <v>45771732.480799183</v>
      </c>
      <c r="CL20" s="462">
        <f t="shared" si="21"/>
        <v>52176975.293399766</v>
      </c>
      <c r="CM20" s="462">
        <f t="shared" si="22"/>
        <v>53331928.918399811</v>
      </c>
      <c r="CN20" s="464">
        <f t="shared" si="23"/>
        <v>204949299.55459836</v>
      </c>
      <c r="CO20" s="462">
        <f t="shared" si="24"/>
        <v>53668662.861999579</v>
      </c>
      <c r="CP20" s="462">
        <f t="shared" si="25"/>
        <v>45771732.480799183</v>
      </c>
      <c r="CQ20" s="462">
        <f t="shared" si="26"/>
        <v>52176975.293399766</v>
      </c>
      <c r="CR20" s="462">
        <f t="shared" si="27"/>
        <v>53331928.918399811</v>
      </c>
      <c r="CS20" s="464">
        <f t="shared" si="28"/>
        <v>204949299.55459833</v>
      </c>
      <c r="CT20" s="362"/>
      <c r="CU20" s="362"/>
      <c r="CV20" s="362"/>
      <c r="CW20" s="362"/>
      <c r="CX20" s="362"/>
    </row>
    <row r="21" spans="1:131" ht="15.75" customHeight="1" x14ac:dyDescent="0.25">
      <c r="A21" s="94" t="s">
        <v>208</v>
      </c>
      <c r="B21" s="343">
        <v>3</v>
      </c>
      <c r="C21" s="257"/>
      <c r="D21" s="257"/>
      <c r="E21" s="257"/>
      <c r="F21" s="257"/>
      <c r="G21" s="257"/>
      <c r="H21" s="257"/>
      <c r="I21" s="257"/>
      <c r="J21" s="257"/>
      <c r="K21" s="460">
        <f t="shared" si="1"/>
        <v>0</v>
      </c>
      <c r="L21" s="465"/>
      <c r="M21" s="257"/>
      <c r="N21" s="257"/>
      <c r="O21" s="257"/>
      <c r="P21" s="257"/>
      <c r="Q21" s="257"/>
      <c r="R21" s="257"/>
      <c r="S21" s="257"/>
      <c r="T21" s="462">
        <f t="shared" si="2"/>
        <v>0</v>
      </c>
      <c r="U21" s="463">
        <f t="shared" si="3"/>
        <v>0</v>
      </c>
      <c r="V21" s="343">
        <v>3</v>
      </c>
      <c r="W21" s="257"/>
      <c r="X21" s="257"/>
      <c r="Y21" s="257"/>
      <c r="Z21" s="257"/>
      <c r="AA21" s="257"/>
      <c r="AB21" s="257"/>
      <c r="AC21" s="257"/>
      <c r="AD21" s="257"/>
      <c r="AE21" s="460">
        <f t="shared" si="4"/>
        <v>0</v>
      </c>
      <c r="AF21" s="465"/>
      <c r="AG21" s="257"/>
      <c r="AH21" s="257"/>
      <c r="AI21" s="257"/>
      <c r="AJ21" s="257"/>
      <c r="AK21" s="257"/>
      <c r="AL21" s="257"/>
      <c r="AM21" s="257"/>
      <c r="AN21" s="462">
        <f t="shared" si="5"/>
        <v>0</v>
      </c>
      <c r="AO21" s="463">
        <f t="shared" si="6"/>
        <v>0</v>
      </c>
      <c r="AP21" s="343">
        <v>3</v>
      </c>
      <c r="AQ21" s="257"/>
      <c r="AR21" s="257"/>
      <c r="AS21" s="257"/>
      <c r="AT21" s="257"/>
      <c r="AU21" s="257"/>
      <c r="AV21" s="257"/>
      <c r="AW21" s="257"/>
      <c r="AX21" s="257"/>
      <c r="AY21" s="460">
        <f t="shared" si="7"/>
        <v>0</v>
      </c>
      <c r="AZ21" s="465"/>
      <c r="BA21" s="257"/>
      <c r="BB21" s="257"/>
      <c r="BC21" s="257"/>
      <c r="BD21" s="257"/>
      <c r="BE21" s="257"/>
      <c r="BF21" s="257"/>
      <c r="BG21" s="257"/>
      <c r="BH21" s="462">
        <f t="shared" si="8"/>
        <v>0</v>
      </c>
      <c r="BI21" s="463">
        <f t="shared" si="9"/>
        <v>0</v>
      </c>
      <c r="BJ21" s="343">
        <v>3</v>
      </c>
      <c r="BK21" s="257"/>
      <c r="BL21" s="257"/>
      <c r="BM21" s="257"/>
      <c r="BN21" s="257"/>
      <c r="BO21" s="257"/>
      <c r="BP21" s="257"/>
      <c r="BQ21" s="257"/>
      <c r="BR21" s="257"/>
      <c r="BS21" s="460">
        <f t="shared" si="10"/>
        <v>0</v>
      </c>
      <c r="BT21" s="465"/>
      <c r="BU21" s="257"/>
      <c r="BV21" s="257"/>
      <c r="BW21" s="257"/>
      <c r="BX21" s="257"/>
      <c r="BY21" s="257"/>
      <c r="BZ21" s="257"/>
      <c r="CA21" s="257"/>
      <c r="CB21" s="462">
        <f t="shared" si="11"/>
        <v>0</v>
      </c>
      <c r="CC21" s="463">
        <f t="shared" si="12"/>
        <v>0</v>
      </c>
      <c r="CD21" s="343">
        <v>3</v>
      </c>
      <c r="CE21" s="462">
        <f t="shared" si="14"/>
        <v>0</v>
      </c>
      <c r="CF21" s="462">
        <f t="shared" si="15"/>
        <v>0</v>
      </c>
      <c r="CG21" s="462">
        <f t="shared" si="16"/>
        <v>0</v>
      </c>
      <c r="CH21" s="462">
        <f t="shared" si="17"/>
        <v>0</v>
      </c>
      <c r="CI21" s="464">
        <f t="shared" si="18"/>
        <v>0</v>
      </c>
      <c r="CJ21" s="462">
        <f t="shared" si="19"/>
        <v>0</v>
      </c>
      <c r="CK21" s="462">
        <f t="shared" si="20"/>
        <v>0</v>
      </c>
      <c r="CL21" s="462">
        <f t="shared" si="21"/>
        <v>0</v>
      </c>
      <c r="CM21" s="462">
        <f t="shared" si="22"/>
        <v>0</v>
      </c>
      <c r="CN21" s="464">
        <f t="shared" si="23"/>
        <v>0</v>
      </c>
      <c r="CO21" s="462">
        <f t="shared" si="24"/>
        <v>0</v>
      </c>
      <c r="CP21" s="462">
        <f t="shared" si="25"/>
        <v>0</v>
      </c>
      <c r="CQ21" s="462">
        <f t="shared" si="26"/>
        <v>0</v>
      </c>
      <c r="CR21" s="462">
        <f t="shared" si="27"/>
        <v>0</v>
      </c>
      <c r="CS21" s="464">
        <f t="shared" si="28"/>
        <v>0</v>
      </c>
      <c r="CT21" s="362"/>
      <c r="CV21" s="362"/>
      <c r="CX21" s="362"/>
    </row>
    <row r="22" spans="1:131" ht="15.75" customHeight="1" x14ac:dyDescent="0.25">
      <c r="A22" s="94" t="s">
        <v>209</v>
      </c>
      <c r="B22" s="343">
        <v>4</v>
      </c>
      <c r="C22" s="257">
        <v>0</v>
      </c>
      <c r="D22" s="257">
        <v>0</v>
      </c>
      <c r="E22" s="257">
        <v>0</v>
      </c>
      <c r="F22" s="257">
        <v>0</v>
      </c>
      <c r="G22" s="257">
        <v>0</v>
      </c>
      <c r="H22" s="257">
        <v>0</v>
      </c>
      <c r="I22" s="257">
        <v>0</v>
      </c>
      <c r="J22" s="257">
        <v>0</v>
      </c>
      <c r="K22" s="460">
        <f t="shared" si="1"/>
        <v>0</v>
      </c>
      <c r="L22" s="465">
        <v>0</v>
      </c>
      <c r="M22" s="257">
        <v>100651.92795695609</v>
      </c>
      <c r="N22" s="257">
        <v>0</v>
      </c>
      <c r="O22" s="257">
        <v>71109.898378770231</v>
      </c>
      <c r="P22" s="257">
        <v>0</v>
      </c>
      <c r="Q22" s="257">
        <v>80569.544609111836</v>
      </c>
      <c r="R22" s="257">
        <v>0</v>
      </c>
      <c r="S22" s="257">
        <v>76627.62962189989</v>
      </c>
      <c r="T22" s="462">
        <f t="shared" si="2"/>
        <v>328959.00056673808</v>
      </c>
      <c r="U22" s="463">
        <f t="shared" si="3"/>
        <v>328959.00056673808</v>
      </c>
      <c r="V22" s="343">
        <v>4</v>
      </c>
      <c r="W22" s="257">
        <v>0</v>
      </c>
      <c r="X22" s="257">
        <v>0</v>
      </c>
      <c r="Y22" s="257">
        <v>0</v>
      </c>
      <c r="Z22" s="257">
        <v>0</v>
      </c>
      <c r="AA22" s="257">
        <v>0</v>
      </c>
      <c r="AB22" s="257">
        <v>0</v>
      </c>
      <c r="AC22" s="257">
        <v>0</v>
      </c>
      <c r="AD22" s="257">
        <v>0</v>
      </c>
      <c r="AE22" s="460">
        <f t="shared" si="4"/>
        <v>0</v>
      </c>
      <c r="AF22" s="465">
        <v>0</v>
      </c>
      <c r="AG22" s="257">
        <v>35344.681730868826</v>
      </c>
      <c r="AH22" s="257">
        <v>0</v>
      </c>
      <c r="AI22" s="257">
        <v>25285.336622005758</v>
      </c>
      <c r="AJ22" s="257">
        <v>0</v>
      </c>
      <c r="AK22" s="257">
        <v>28048.167818150829</v>
      </c>
      <c r="AL22" s="257">
        <v>0</v>
      </c>
      <c r="AM22" s="257">
        <v>27065.07941272101</v>
      </c>
      <c r="AN22" s="462">
        <f t="shared" si="5"/>
        <v>115743.26558374643</v>
      </c>
      <c r="AO22" s="463">
        <f t="shared" si="6"/>
        <v>115743.26558374643</v>
      </c>
      <c r="AP22" s="343">
        <v>4</v>
      </c>
      <c r="AQ22" s="257">
        <v>0</v>
      </c>
      <c r="AR22" s="257">
        <v>0</v>
      </c>
      <c r="AS22" s="257">
        <v>0</v>
      </c>
      <c r="AT22" s="257">
        <v>0</v>
      </c>
      <c r="AU22" s="257">
        <v>0</v>
      </c>
      <c r="AV22" s="257">
        <v>0</v>
      </c>
      <c r="AW22" s="257">
        <v>0</v>
      </c>
      <c r="AX22" s="257">
        <v>0</v>
      </c>
      <c r="AY22" s="460">
        <f t="shared" si="7"/>
        <v>0</v>
      </c>
      <c r="AZ22" s="465">
        <v>0</v>
      </c>
      <c r="BA22" s="257">
        <v>704161.22031847923</v>
      </c>
      <c r="BB22" s="257">
        <v>0</v>
      </c>
      <c r="BC22" s="257">
        <v>546197.29018527421</v>
      </c>
      <c r="BD22" s="257">
        <v>0</v>
      </c>
      <c r="BE22" s="257">
        <v>618672.47778810293</v>
      </c>
      <c r="BF22" s="257">
        <v>0</v>
      </c>
      <c r="BG22" s="257">
        <v>604338.04725192941</v>
      </c>
      <c r="BH22" s="462">
        <f t="shared" si="8"/>
        <v>2473369.0355437859</v>
      </c>
      <c r="BI22" s="463">
        <f t="shared" si="9"/>
        <v>2473369.0355437859</v>
      </c>
      <c r="BJ22" s="343">
        <v>4</v>
      </c>
      <c r="BK22" s="257">
        <v>0</v>
      </c>
      <c r="BL22" s="257">
        <v>0</v>
      </c>
      <c r="BM22" s="257">
        <v>0</v>
      </c>
      <c r="BN22" s="257">
        <v>0</v>
      </c>
      <c r="BO22" s="257">
        <v>0</v>
      </c>
      <c r="BP22" s="257">
        <v>0</v>
      </c>
      <c r="BQ22" s="257">
        <v>0</v>
      </c>
      <c r="BR22" s="257">
        <v>0</v>
      </c>
      <c r="BS22" s="460">
        <f t="shared" si="10"/>
        <v>0</v>
      </c>
      <c r="BT22" s="465">
        <v>0</v>
      </c>
      <c r="BU22" s="257">
        <v>29705.321115036211</v>
      </c>
      <c r="BV22" s="257">
        <v>0</v>
      </c>
      <c r="BW22" s="257">
        <v>25613.398484256293</v>
      </c>
      <c r="BX22" s="257">
        <v>0</v>
      </c>
      <c r="BY22" s="257">
        <v>26928.95070346192</v>
      </c>
      <c r="BZ22" s="257">
        <v>0</v>
      </c>
      <c r="CA22" s="257">
        <v>24985.934336153688</v>
      </c>
      <c r="CB22" s="462">
        <f t="shared" si="11"/>
        <v>107233.60463890812</v>
      </c>
      <c r="CC22" s="463">
        <f t="shared" si="12"/>
        <v>107233.60463890812</v>
      </c>
      <c r="CD22" s="343">
        <v>4</v>
      </c>
      <c r="CE22" s="462">
        <f t="shared" si="14"/>
        <v>0</v>
      </c>
      <c r="CF22" s="462">
        <f t="shared" si="15"/>
        <v>0</v>
      </c>
      <c r="CG22" s="462">
        <f t="shared" si="16"/>
        <v>0</v>
      </c>
      <c r="CH22" s="462">
        <f t="shared" si="17"/>
        <v>0</v>
      </c>
      <c r="CI22" s="464">
        <f t="shared" si="18"/>
        <v>0</v>
      </c>
      <c r="CJ22" s="462">
        <f t="shared" si="19"/>
        <v>869863.15112134046</v>
      </c>
      <c r="CK22" s="462">
        <f t="shared" si="20"/>
        <v>668205.92367030657</v>
      </c>
      <c r="CL22" s="462">
        <f t="shared" si="21"/>
        <v>754219.1409188275</v>
      </c>
      <c r="CM22" s="462">
        <f t="shared" si="22"/>
        <v>733016.69062270399</v>
      </c>
      <c r="CN22" s="464">
        <f t="shared" si="23"/>
        <v>3025304.9063331783</v>
      </c>
      <c r="CO22" s="462">
        <f t="shared" si="24"/>
        <v>869863.15112134046</v>
      </c>
      <c r="CP22" s="462">
        <f t="shared" si="25"/>
        <v>668205.92367030657</v>
      </c>
      <c r="CQ22" s="462">
        <f t="shared" si="26"/>
        <v>754219.1409188275</v>
      </c>
      <c r="CR22" s="462">
        <f t="shared" si="27"/>
        <v>733016.69062270399</v>
      </c>
      <c r="CS22" s="464">
        <f t="shared" si="28"/>
        <v>3025304.9063331787</v>
      </c>
      <c r="CT22" s="362"/>
      <c r="CV22" s="362"/>
      <c r="CX22" s="362"/>
    </row>
    <row r="23" spans="1:131" ht="15.75" customHeight="1" x14ac:dyDescent="0.25">
      <c r="A23" s="148" t="s">
        <v>44</v>
      </c>
      <c r="B23" s="343">
        <v>5</v>
      </c>
      <c r="C23" s="150">
        <f t="shared" ref="C23:J23" si="37">C16+C20+C21+C22</f>
        <v>1150819.5300000301</v>
      </c>
      <c r="D23" s="150">
        <f t="shared" si="37"/>
        <v>2181917.8900002399</v>
      </c>
      <c r="E23" s="150">
        <f t="shared" si="37"/>
        <v>1170535.93000003</v>
      </c>
      <c r="F23" s="150">
        <f t="shared" si="37"/>
        <v>2263825.41000026</v>
      </c>
      <c r="G23" s="150">
        <f t="shared" si="37"/>
        <v>1183184.74000004</v>
      </c>
      <c r="H23" s="150">
        <f t="shared" si="37"/>
        <v>2365228.6700002798</v>
      </c>
      <c r="I23" s="150">
        <f t="shared" si="37"/>
        <v>1227627.7600000401</v>
      </c>
      <c r="J23" s="150">
        <f t="shared" si="37"/>
        <v>2386902.3000002801</v>
      </c>
      <c r="K23" s="460">
        <f t="shared" si="1"/>
        <v>13930042.2300012</v>
      </c>
      <c r="L23" s="237">
        <f t="shared" ref="L23:S23" si="38">L16+L20+L21+L22</f>
        <v>0</v>
      </c>
      <c r="M23" s="150">
        <f t="shared" si="38"/>
        <v>5841289.8125569355</v>
      </c>
      <c r="N23" s="150">
        <f t="shared" si="38"/>
        <v>0</v>
      </c>
      <c r="O23" s="150">
        <f t="shared" si="38"/>
        <v>5379073.7129787607</v>
      </c>
      <c r="P23" s="150">
        <f t="shared" si="38"/>
        <v>0</v>
      </c>
      <c r="Q23" s="150">
        <f t="shared" si="38"/>
        <v>6083007.7266090829</v>
      </c>
      <c r="R23" s="150">
        <f t="shared" si="38"/>
        <v>0</v>
      </c>
      <c r="S23" s="150">
        <f t="shared" si="38"/>
        <v>6208058.8256219011</v>
      </c>
      <c r="T23" s="462">
        <f t="shared" si="2"/>
        <v>23511430.077766679</v>
      </c>
      <c r="U23" s="237">
        <f t="shared" si="3"/>
        <v>37441472.307767883</v>
      </c>
      <c r="V23" s="343">
        <v>5</v>
      </c>
      <c r="W23" s="150">
        <f t="shared" ref="W23:AD23" si="39">W16+W20+W21+W22</f>
        <v>177985.3</v>
      </c>
      <c r="X23" s="150">
        <f t="shared" si="39"/>
        <v>994432.38000001898</v>
      </c>
      <c r="Y23" s="150">
        <f t="shared" si="39"/>
        <v>184949.97</v>
      </c>
      <c r="Z23" s="150">
        <f t="shared" si="39"/>
        <v>947873.12000001804</v>
      </c>
      <c r="AA23" s="150">
        <f t="shared" si="39"/>
        <v>169510.74</v>
      </c>
      <c r="AB23" s="150">
        <f t="shared" si="39"/>
        <v>966824.41000001901</v>
      </c>
      <c r="AC23" s="150">
        <f t="shared" si="39"/>
        <v>180161.79</v>
      </c>
      <c r="AD23" s="150">
        <f t="shared" si="39"/>
        <v>988270.23000001896</v>
      </c>
      <c r="AE23" s="460">
        <f t="shared" si="4"/>
        <v>4610007.9400000749</v>
      </c>
      <c r="AF23" s="237">
        <f t="shared" ref="AF23:AM23" si="40">AF16+AF20+AF21+AF22</f>
        <v>0</v>
      </c>
      <c r="AG23" s="150">
        <f t="shared" si="40"/>
        <v>1931634.7795308686</v>
      </c>
      <c r="AH23" s="150">
        <f t="shared" si="40"/>
        <v>0</v>
      </c>
      <c r="AI23" s="150">
        <f t="shared" si="40"/>
        <v>1541025.7272220056</v>
      </c>
      <c r="AJ23" s="150">
        <f t="shared" si="40"/>
        <v>0</v>
      </c>
      <c r="AK23" s="150">
        <f t="shared" si="40"/>
        <v>1654251.5662181505</v>
      </c>
      <c r="AL23" s="150">
        <f t="shared" si="40"/>
        <v>0</v>
      </c>
      <c r="AM23" s="150">
        <f t="shared" si="40"/>
        <v>1689564.5932127209</v>
      </c>
      <c r="AN23" s="462">
        <f t="shared" si="5"/>
        <v>6816476.6661837455</v>
      </c>
      <c r="AO23" s="237">
        <f t="shared" si="6"/>
        <v>11426484.606183819</v>
      </c>
      <c r="AP23" s="343">
        <v>5</v>
      </c>
      <c r="AQ23" s="150">
        <f t="shared" ref="AQ23:AX23" si="41">AQ16+AQ20+AQ21+AQ22</f>
        <v>19100116.4299982</v>
      </c>
      <c r="AR23" s="150">
        <f t="shared" si="41"/>
        <v>43128661.440006398</v>
      </c>
      <c r="AS23" s="150">
        <f t="shared" si="41"/>
        <v>20419911.159998003</v>
      </c>
      <c r="AT23" s="150">
        <f t="shared" si="41"/>
        <v>45563136.970009305</v>
      </c>
      <c r="AU23" s="150">
        <f t="shared" si="41"/>
        <v>21558446.110000599</v>
      </c>
      <c r="AV23" s="150">
        <f t="shared" si="41"/>
        <v>48005613.160017006</v>
      </c>
      <c r="AW23" s="150">
        <f t="shared" si="41"/>
        <v>23376653.940001201</v>
      </c>
      <c r="AX23" s="150">
        <f t="shared" si="41"/>
        <v>50133723.1100199</v>
      </c>
      <c r="AY23" s="460">
        <f t="shared" si="7"/>
        <v>271286262.3200506</v>
      </c>
      <c r="AZ23" s="237">
        <f t="shared" ref="AZ23:BG23" si="42">AZ16+AZ20+AZ21+AZ22</f>
        <v>0</v>
      </c>
      <c r="BA23" s="150">
        <f t="shared" si="42"/>
        <v>45203044.448918082</v>
      </c>
      <c r="BB23" s="150">
        <f t="shared" si="42"/>
        <v>0</v>
      </c>
      <c r="BC23" s="150">
        <f t="shared" si="42"/>
        <v>38162747.838784471</v>
      </c>
      <c r="BD23" s="150">
        <f t="shared" si="42"/>
        <v>0</v>
      </c>
      <c r="BE23" s="150">
        <f t="shared" si="42"/>
        <v>43734785.461987898</v>
      </c>
      <c r="BF23" s="150">
        <f t="shared" si="42"/>
        <v>0</v>
      </c>
      <c r="BG23" s="150">
        <f t="shared" si="42"/>
        <v>44438415.50505174</v>
      </c>
      <c r="BH23" s="462">
        <f t="shared" si="8"/>
        <v>171538993.25474221</v>
      </c>
      <c r="BI23" s="237">
        <f t="shared" si="9"/>
        <v>442825255.5747928</v>
      </c>
      <c r="BJ23" s="343">
        <v>5</v>
      </c>
      <c r="BK23" s="150">
        <f t="shared" ref="BK23:BR23" si="43">BK16+BK20+BK21+BK22</f>
        <v>393663.5</v>
      </c>
      <c r="BL23" s="150">
        <f t="shared" si="43"/>
        <v>4224258.8900000006</v>
      </c>
      <c r="BM23" s="150">
        <f t="shared" si="43"/>
        <v>423256.24</v>
      </c>
      <c r="BN23" s="150">
        <f t="shared" si="43"/>
        <v>4169998.2999999993</v>
      </c>
      <c r="BO23" s="150">
        <f t="shared" si="43"/>
        <v>379270.48000000004</v>
      </c>
      <c r="BP23" s="150">
        <f t="shared" si="43"/>
        <v>4035522.1100000008</v>
      </c>
      <c r="BQ23" s="150">
        <f t="shared" si="43"/>
        <v>484682.4800000001</v>
      </c>
      <c r="BR23" s="150">
        <f t="shared" si="43"/>
        <v>4331255.2100000009</v>
      </c>
      <c r="BS23" s="460">
        <f t="shared" si="10"/>
        <v>18441907.210000001</v>
      </c>
      <c r="BT23" s="237">
        <f t="shared" ref="BT23:CA23" si="44">BT16+BT20+BT21+BT22</f>
        <v>0</v>
      </c>
      <c r="BU23" s="150">
        <f t="shared" si="44"/>
        <v>1562556.9721150363</v>
      </c>
      <c r="BV23" s="150">
        <f t="shared" si="44"/>
        <v>0</v>
      </c>
      <c r="BW23" s="150">
        <f t="shared" si="44"/>
        <v>1357091.1254842565</v>
      </c>
      <c r="BX23" s="150">
        <f t="shared" si="44"/>
        <v>0</v>
      </c>
      <c r="BY23" s="150">
        <f t="shared" si="44"/>
        <v>1459149.679503462</v>
      </c>
      <c r="BZ23" s="150">
        <f t="shared" si="44"/>
        <v>0</v>
      </c>
      <c r="CA23" s="150">
        <f t="shared" si="44"/>
        <v>1728906.6851361541</v>
      </c>
      <c r="CB23" s="462">
        <f t="shared" si="11"/>
        <v>6107704.4622389097</v>
      </c>
      <c r="CC23" s="237">
        <f t="shared" si="12"/>
        <v>24549611.672238909</v>
      </c>
      <c r="CD23" s="343">
        <v>5</v>
      </c>
      <c r="CE23" s="462">
        <f t="shared" si="14"/>
        <v>71351855.360004887</v>
      </c>
      <c r="CF23" s="462">
        <f t="shared" si="15"/>
        <v>75143487.100007609</v>
      </c>
      <c r="CG23" s="462">
        <f t="shared" si="16"/>
        <v>78663600.420017943</v>
      </c>
      <c r="CH23" s="462">
        <f t="shared" si="17"/>
        <v>83109276.820021451</v>
      </c>
      <c r="CI23" s="464">
        <f t="shared" si="18"/>
        <v>308268219.70005184</v>
      </c>
      <c r="CJ23" s="462">
        <f t="shared" si="19"/>
        <v>54538526.013120927</v>
      </c>
      <c r="CK23" s="462">
        <f t="shared" si="20"/>
        <v>46439938.404469498</v>
      </c>
      <c r="CL23" s="462">
        <f t="shared" si="21"/>
        <v>52931194.434318595</v>
      </c>
      <c r="CM23" s="462">
        <f t="shared" si="22"/>
        <v>54064945.609022513</v>
      </c>
      <c r="CN23" s="464">
        <f t="shared" si="23"/>
        <v>207974604.46093154</v>
      </c>
      <c r="CO23" s="462">
        <f t="shared" si="24"/>
        <v>125890381.37312581</v>
      </c>
      <c r="CP23" s="462">
        <f t="shared" si="25"/>
        <v>121583425.5044771</v>
      </c>
      <c r="CQ23" s="462">
        <f t="shared" si="26"/>
        <v>131594794.85433653</v>
      </c>
      <c r="CR23" s="462">
        <f t="shared" si="27"/>
        <v>137174222.42904392</v>
      </c>
      <c r="CS23" s="464">
        <f t="shared" si="28"/>
        <v>516242824.16098338</v>
      </c>
      <c r="CT23" s="362"/>
      <c r="CV23" s="362"/>
      <c r="CX23" s="362"/>
    </row>
    <row r="24" spans="1:131" ht="15.75" customHeight="1" x14ac:dyDescent="0.25">
      <c r="A24" s="148" t="s">
        <v>138</v>
      </c>
      <c r="B24" s="213"/>
      <c r="C24" s="198"/>
      <c r="D24" s="198"/>
      <c r="E24" s="198"/>
      <c r="F24" s="198"/>
      <c r="G24" s="198"/>
      <c r="H24" s="198"/>
      <c r="I24" s="198"/>
      <c r="J24" s="198"/>
      <c r="K24" s="429"/>
      <c r="L24" s="430"/>
      <c r="M24" s="198"/>
      <c r="N24" s="198"/>
      <c r="O24" s="198"/>
      <c r="P24" s="198"/>
      <c r="Q24" s="198"/>
      <c r="R24" s="198"/>
      <c r="S24" s="198"/>
      <c r="T24" s="198"/>
      <c r="U24" s="430"/>
      <c r="V24" s="213"/>
      <c r="W24" s="198"/>
      <c r="X24" s="198"/>
      <c r="Y24" s="198"/>
      <c r="Z24" s="198"/>
      <c r="AA24" s="198"/>
      <c r="AB24" s="198"/>
      <c r="AC24" s="198"/>
      <c r="AD24" s="198"/>
      <c r="AE24" s="429"/>
      <c r="AF24" s="430"/>
      <c r="AG24" s="198"/>
      <c r="AH24" s="198"/>
      <c r="AI24" s="198"/>
      <c r="AJ24" s="198"/>
      <c r="AK24" s="198"/>
      <c r="AL24" s="198"/>
      <c r="AM24" s="198"/>
      <c r="AN24" s="198"/>
      <c r="AO24" s="430"/>
      <c r="AP24" s="213"/>
      <c r="AQ24" s="198"/>
      <c r="AR24" s="198"/>
      <c r="AS24" s="198"/>
      <c r="AT24" s="198"/>
      <c r="AU24" s="198"/>
      <c r="AV24" s="198"/>
      <c r="AW24" s="198"/>
      <c r="AX24" s="198"/>
      <c r="AY24" s="429"/>
      <c r="AZ24" s="430"/>
      <c r="BA24" s="198"/>
      <c r="BB24" s="198"/>
      <c r="BC24" s="198"/>
      <c r="BD24" s="198"/>
      <c r="BE24" s="198"/>
      <c r="BF24" s="198"/>
      <c r="BG24" s="198"/>
      <c r="BH24" s="198"/>
      <c r="BI24" s="430"/>
      <c r="BJ24" s="213"/>
      <c r="BK24" s="198"/>
      <c r="BL24" s="198"/>
      <c r="BM24" s="198"/>
      <c r="BN24" s="198"/>
      <c r="BO24" s="198"/>
      <c r="BP24" s="198"/>
      <c r="BQ24" s="198"/>
      <c r="BR24" s="198"/>
      <c r="BS24" s="429"/>
      <c r="BT24" s="430"/>
      <c r="BU24" s="198"/>
      <c r="BV24" s="198"/>
      <c r="BW24" s="198"/>
      <c r="BX24" s="198"/>
      <c r="BY24" s="198"/>
      <c r="BZ24" s="198"/>
      <c r="CA24" s="198"/>
      <c r="CB24" s="198"/>
      <c r="CC24" s="430"/>
      <c r="CD24" s="213"/>
      <c r="CE24" s="198"/>
      <c r="CF24" s="198"/>
      <c r="CG24" s="198"/>
      <c r="CH24" s="198"/>
      <c r="CI24" s="467"/>
      <c r="CJ24" s="198"/>
      <c r="CK24" s="198"/>
      <c r="CL24" s="198"/>
      <c r="CM24" s="198"/>
      <c r="CN24" s="467"/>
      <c r="CO24" s="198"/>
      <c r="CP24" s="198"/>
      <c r="CQ24" s="198"/>
      <c r="CR24" s="198"/>
      <c r="CS24" s="467"/>
    </row>
    <row r="25" spans="1:131" ht="15.75" customHeight="1" x14ac:dyDescent="0.25">
      <c r="A25" s="94" t="s">
        <v>374</v>
      </c>
      <c r="B25" s="343">
        <v>6</v>
      </c>
      <c r="C25" s="257"/>
      <c r="D25" s="257"/>
      <c r="E25" s="257"/>
      <c r="F25" s="257"/>
      <c r="G25" s="257"/>
      <c r="H25" s="257"/>
      <c r="I25" s="257"/>
      <c r="J25" s="257"/>
      <c r="K25" s="460">
        <f t="shared" ref="K25:K30" si="45">SUM(C25:J25)</f>
        <v>0</v>
      </c>
      <c r="L25" s="465"/>
      <c r="M25" s="257"/>
      <c r="N25" s="257"/>
      <c r="O25" s="257"/>
      <c r="P25" s="257"/>
      <c r="Q25" s="257"/>
      <c r="R25" s="257"/>
      <c r="S25" s="257"/>
      <c r="T25" s="462">
        <f t="shared" ref="T25:T30" si="46">SUM(L25:S25)</f>
        <v>0</v>
      </c>
      <c r="U25" s="463">
        <f t="shared" ref="U25:U30" si="47">SUM(K25,T25)</f>
        <v>0</v>
      </c>
      <c r="V25" s="343">
        <v>6</v>
      </c>
      <c r="W25" s="257"/>
      <c r="X25" s="257"/>
      <c r="Y25" s="257"/>
      <c r="Z25" s="257"/>
      <c r="AA25" s="257"/>
      <c r="AB25" s="257"/>
      <c r="AC25" s="257"/>
      <c r="AD25" s="257"/>
      <c r="AE25" s="460">
        <f t="shared" ref="AE25:AE30" si="48">SUM(W25:AD25)</f>
        <v>0</v>
      </c>
      <c r="AF25" s="465"/>
      <c r="AG25" s="257"/>
      <c r="AH25" s="257"/>
      <c r="AI25" s="257"/>
      <c r="AJ25" s="257"/>
      <c r="AK25" s="257"/>
      <c r="AL25" s="257"/>
      <c r="AM25" s="257"/>
      <c r="AN25" s="462">
        <f t="shared" ref="AN25:AN30" si="49">SUM(AF25:AM25)</f>
        <v>0</v>
      </c>
      <c r="AO25" s="463">
        <f t="shared" ref="AO25:AO30" si="50">SUM(AE25,AN25)</f>
        <v>0</v>
      </c>
      <c r="AP25" s="343">
        <v>6</v>
      </c>
      <c r="AQ25" s="257"/>
      <c r="AR25" s="257"/>
      <c r="AS25" s="257"/>
      <c r="AT25" s="257"/>
      <c r="AU25" s="257"/>
      <c r="AV25" s="257"/>
      <c r="AW25" s="257"/>
      <c r="AX25" s="257"/>
      <c r="AY25" s="460">
        <f t="shared" ref="AY25:AY30" si="51">SUM(AQ25:AX25)</f>
        <v>0</v>
      </c>
      <c r="AZ25" s="465"/>
      <c r="BA25" s="257"/>
      <c r="BB25" s="257"/>
      <c r="BC25" s="257"/>
      <c r="BD25" s="257"/>
      <c r="BE25" s="257"/>
      <c r="BF25" s="257"/>
      <c r="BG25" s="257"/>
      <c r="BH25" s="462">
        <f t="shared" ref="BH25:BH30" si="52">SUM(AZ25:BG25)</f>
        <v>0</v>
      </c>
      <c r="BI25" s="463">
        <f t="shared" ref="BI25:BI30" si="53">SUM(AY25,BH25)</f>
        <v>0</v>
      </c>
      <c r="BJ25" s="343">
        <v>6</v>
      </c>
      <c r="BK25" s="257">
        <v>29390.371466433498</v>
      </c>
      <c r="BL25" s="257">
        <v>315377.31577218627</v>
      </c>
      <c r="BM25" s="257">
        <v>31749.768214923402</v>
      </c>
      <c r="BN25" s="257">
        <v>312804.5542379354</v>
      </c>
      <c r="BO25" s="257">
        <v>29246.927160003361</v>
      </c>
      <c r="BP25" s="257">
        <v>311193.79816682037</v>
      </c>
      <c r="BQ25" s="257">
        <v>149320.08203506752</v>
      </c>
      <c r="BR25" s="257">
        <v>1334365.0945914397</v>
      </c>
      <c r="BS25" s="460">
        <f t="shared" ref="BS25:BS30" si="54">SUM(BK25:BR25)</f>
        <v>2513447.9116448094</v>
      </c>
      <c r="BT25" s="465"/>
      <c r="BU25" s="257"/>
      <c r="BV25" s="257"/>
      <c r="BW25" s="257"/>
      <c r="BX25" s="257"/>
      <c r="BY25" s="257"/>
      <c r="BZ25" s="257"/>
      <c r="CA25" s="257"/>
      <c r="CB25" s="462">
        <f t="shared" ref="CB25:CB30" si="55">SUM(BT25:CA25)</f>
        <v>0</v>
      </c>
      <c r="CC25" s="463">
        <f t="shared" ref="CC25:CC30" si="56">SUM(BS25,CB25)</f>
        <v>2513447.9116448094</v>
      </c>
      <c r="CD25" s="343">
        <v>6</v>
      </c>
      <c r="CE25" s="462">
        <f t="shared" ref="CE25:CE30" si="57">+C25+D25+W25+X25+AQ25+AR25+BK25+BL25</f>
        <v>344767.68723861978</v>
      </c>
      <c r="CF25" s="462">
        <f t="shared" ref="CF25:CF30" si="58">+E25+F25+Y25+Z25+AS25+AT25+BM25+BN25</f>
        <v>344554.32245285879</v>
      </c>
      <c r="CG25" s="462">
        <f t="shared" ref="CG25:CG30" si="59">+G25+H25+AA25+AB25+AU25+AV25+BO25+BP25</f>
        <v>340440.72532682371</v>
      </c>
      <c r="CH25" s="462">
        <f t="shared" ref="CH25:CH30" si="60">+I25+J25+AC25+AD25+AW25+AX25+BQ25+BR25</f>
        <v>1483685.1766265072</v>
      </c>
      <c r="CI25" s="464">
        <f t="shared" ref="CI25:CI30" si="61">SUM(K25,AE25,AY25,BS25)</f>
        <v>2513447.9116448094</v>
      </c>
      <c r="CJ25" s="462">
        <f t="shared" ref="CJ25:CJ30" si="62">L25+M25+AF25+AG25+AZ25+BA25+BT25+BU25</f>
        <v>0</v>
      </c>
      <c r="CK25" s="462">
        <f t="shared" ref="CK25:CK30" si="63">N25+O25+AH25+AI25+BB25+BC25+BV25+BW25</f>
        <v>0</v>
      </c>
      <c r="CL25" s="462">
        <f t="shared" ref="CL25:CL30" si="64">P25+Q25+AJ25+AK25+BD25+BE25+BX25+BY25</f>
        <v>0</v>
      </c>
      <c r="CM25" s="462">
        <f t="shared" ref="CM25:CM30" si="65">+R25+S25+AL25+AM25+BF25+BG25+BZ25+CA25</f>
        <v>0</v>
      </c>
      <c r="CN25" s="464">
        <f t="shared" ref="CN25:CN30" si="66">SUM(T25,AN25,BH25,CB25)</f>
        <v>0</v>
      </c>
      <c r="CO25" s="462">
        <f t="shared" ref="CO25:CO30" si="67">+C25+D25+L25+M25+W25+X25+AF25+AG25+AQ25+AR25+AZ25+BA25+BK25+BL25+BT25+BU25</f>
        <v>344767.68723861978</v>
      </c>
      <c r="CP25" s="462">
        <f t="shared" ref="CP25:CP30" si="68">+E25+F25+N25+O25+Y25+Z25+AH25+AI25+AS25+AT25+BB25+BC25+BM25+BN25+BV25+BW25</f>
        <v>344554.32245285879</v>
      </c>
      <c r="CQ25" s="462">
        <f t="shared" ref="CQ25:CQ30" si="69">+G25+H25+P25+Q25+AA25+AB25+AJ25+AK25+AU25+AV25+BD25+BE25+BO25+BP25+BX25+BY25</f>
        <v>340440.72532682371</v>
      </c>
      <c r="CR25" s="462">
        <f t="shared" ref="CR25:CR30" si="70">+I25+J25+R25+S25+AC25+AD25+AL25+AM25+AW25+AX25+BF25+BG25+BQ25+BR25+BZ25+CA25</f>
        <v>1483685.1766265072</v>
      </c>
      <c r="CS25" s="464">
        <f t="shared" ref="CS25:CS30" si="71">SUM(CC25,BI25,AO25,U25)</f>
        <v>2513447.9116448094</v>
      </c>
      <c r="CT25" s="362"/>
      <c r="CU25" s="362"/>
      <c r="CV25" s="362"/>
      <c r="CW25" s="362"/>
      <c r="CX25" s="362"/>
    </row>
    <row r="26" spans="1:131" ht="15.75" customHeight="1" x14ac:dyDescent="0.25">
      <c r="A26" s="94" t="s">
        <v>139</v>
      </c>
      <c r="B26" s="343">
        <v>7</v>
      </c>
      <c r="C26" s="257"/>
      <c r="D26" s="257"/>
      <c r="E26" s="257"/>
      <c r="F26" s="257"/>
      <c r="G26" s="257"/>
      <c r="H26" s="257"/>
      <c r="I26" s="257"/>
      <c r="J26" s="257"/>
      <c r="K26" s="460">
        <f t="shared" si="45"/>
        <v>0</v>
      </c>
      <c r="L26" s="465"/>
      <c r="M26" s="257"/>
      <c r="N26" s="257"/>
      <c r="O26" s="257"/>
      <c r="P26" s="257"/>
      <c r="Q26" s="257"/>
      <c r="R26" s="257"/>
      <c r="S26" s="257"/>
      <c r="T26" s="462">
        <f t="shared" si="46"/>
        <v>0</v>
      </c>
      <c r="U26" s="463">
        <f t="shared" si="47"/>
        <v>0</v>
      </c>
      <c r="V26" s="343">
        <v>7</v>
      </c>
      <c r="W26" s="257"/>
      <c r="X26" s="257"/>
      <c r="Y26" s="257"/>
      <c r="Z26" s="257"/>
      <c r="AA26" s="257"/>
      <c r="AB26" s="257"/>
      <c r="AC26" s="257"/>
      <c r="AD26" s="257"/>
      <c r="AE26" s="460">
        <f t="shared" si="48"/>
        <v>0</v>
      </c>
      <c r="AF26" s="465"/>
      <c r="AG26" s="257"/>
      <c r="AH26" s="257"/>
      <c r="AI26" s="257"/>
      <c r="AJ26" s="257"/>
      <c r="AK26" s="257"/>
      <c r="AL26" s="257"/>
      <c r="AM26" s="257"/>
      <c r="AN26" s="462">
        <f t="shared" si="49"/>
        <v>0</v>
      </c>
      <c r="AO26" s="463">
        <f t="shared" si="50"/>
        <v>0</v>
      </c>
      <c r="AP26" s="343">
        <v>7</v>
      </c>
      <c r="AQ26" s="257"/>
      <c r="AR26" s="257"/>
      <c r="AS26" s="257"/>
      <c r="AT26" s="257"/>
      <c r="AU26" s="257"/>
      <c r="AV26" s="257"/>
      <c r="AW26" s="257"/>
      <c r="AX26" s="257"/>
      <c r="AY26" s="460">
        <f t="shared" si="51"/>
        <v>0</v>
      </c>
      <c r="AZ26" s="465"/>
      <c r="BA26" s="257"/>
      <c r="BB26" s="257"/>
      <c r="BC26" s="257"/>
      <c r="BD26" s="257"/>
      <c r="BE26" s="257"/>
      <c r="BF26" s="257"/>
      <c r="BG26" s="257"/>
      <c r="BH26" s="462">
        <f t="shared" si="52"/>
        <v>0</v>
      </c>
      <c r="BI26" s="463">
        <f t="shared" si="53"/>
        <v>0</v>
      </c>
      <c r="BJ26" s="343">
        <v>7</v>
      </c>
      <c r="BK26" s="257"/>
      <c r="BL26" s="257"/>
      <c r="BM26" s="257"/>
      <c r="BN26" s="257"/>
      <c r="BO26" s="257"/>
      <c r="BP26" s="257"/>
      <c r="BQ26" s="257"/>
      <c r="BR26" s="257"/>
      <c r="BS26" s="460">
        <f t="shared" si="54"/>
        <v>0</v>
      </c>
      <c r="BT26" s="465"/>
      <c r="BU26" s="257"/>
      <c r="BV26" s="257"/>
      <c r="BW26" s="257"/>
      <c r="BX26" s="257"/>
      <c r="BY26" s="257"/>
      <c r="BZ26" s="257"/>
      <c r="CA26" s="257"/>
      <c r="CB26" s="462">
        <f t="shared" si="55"/>
        <v>0</v>
      </c>
      <c r="CC26" s="463">
        <f t="shared" si="56"/>
        <v>0</v>
      </c>
      <c r="CD26" s="343">
        <v>7</v>
      </c>
      <c r="CE26" s="462">
        <f t="shared" si="57"/>
        <v>0</v>
      </c>
      <c r="CF26" s="462">
        <f t="shared" si="58"/>
        <v>0</v>
      </c>
      <c r="CG26" s="462">
        <f t="shared" si="59"/>
        <v>0</v>
      </c>
      <c r="CH26" s="462">
        <f t="shared" si="60"/>
        <v>0</v>
      </c>
      <c r="CI26" s="464">
        <f t="shared" si="61"/>
        <v>0</v>
      </c>
      <c r="CJ26" s="462">
        <f t="shared" si="62"/>
        <v>0</v>
      </c>
      <c r="CK26" s="462">
        <f t="shared" si="63"/>
        <v>0</v>
      </c>
      <c r="CL26" s="462">
        <f t="shared" si="64"/>
        <v>0</v>
      </c>
      <c r="CM26" s="462">
        <f t="shared" si="65"/>
        <v>0</v>
      </c>
      <c r="CN26" s="464">
        <f t="shared" si="66"/>
        <v>0</v>
      </c>
      <c r="CO26" s="462">
        <f t="shared" si="67"/>
        <v>0</v>
      </c>
      <c r="CP26" s="462">
        <f t="shared" si="68"/>
        <v>0</v>
      </c>
      <c r="CQ26" s="462">
        <f t="shared" si="69"/>
        <v>0</v>
      </c>
      <c r="CR26" s="462">
        <f t="shared" si="70"/>
        <v>0</v>
      </c>
      <c r="CS26" s="464">
        <f t="shared" si="71"/>
        <v>0</v>
      </c>
      <c r="CT26" s="362"/>
      <c r="CV26" s="362"/>
      <c r="CX26" s="362"/>
    </row>
    <row r="27" spans="1:131" ht="15.75" customHeight="1" x14ac:dyDescent="0.25">
      <c r="A27" s="94" t="s">
        <v>137</v>
      </c>
      <c r="B27" s="343">
        <v>8</v>
      </c>
      <c r="C27" s="257"/>
      <c r="D27" s="257"/>
      <c r="E27" s="257"/>
      <c r="F27" s="257"/>
      <c r="G27" s="257"/>
      <c r="H27" s="257"/>
      <c r="I27" s="257"/>
      <c r="J27" s="257"/>
      <c r="K27" s="460">
        <f t="shared" si="45"/>
        <v>0</v>
      </c>
      <c r="L27" s="465"/>
      <c r="M27" s="257"/>
      <c r="N27" s="257"/>
      <c r="O27" s="257"/>
      <c r="P27" s="257"/>
      <c r="Q27" s="257"/>
      <c r="R27" s="257"/>
      <c r="S27" s="257"/>
      <c r="T27" s="462">
        <f t="shared" si="46"/>
        <v>0</v>
      </c>
      <c r="U27" s="463">
        <f t="shared" si="47"/>
        <v>0</v>
      </c>
      <c r="V27" s="343">
        <v>8</v>
      </c>
      <c r="W27" s="257"/>
      <c r="X27" s="257"/>
      <c r="Y27" s="257"/>
      <c r="Z27" s="257"/>
      <c r="AA27" s="257"/>
      <c r="AB27" s="257"/>
      <c r="AC27" s="257"/>
      <c r="AD27" s="257"/>
      <c r="AE27" s="460">
        <f t="shared" si="48"/>
        <v>0</v>
      </c>
      <c r="AF27" s="465"/>
      <c r="AG27" s="257"/>
      <c r="AH27" s="257"/>
      <c r="AI27" s="257"/>
      <c r="AJ27" s="257"/>
      <c r="AK27" s="257"/>
      <c r="AL27" s="257"/>
      <c r="AM27" s="257"/>
      <c r="AN27" s="462">
        <f t="shared" si="49"/>
        <v>0</v>
      </c>
      <c r="AO27" s="463">
        <f t="shared" si="50"/>
        <v>0</v>
      </c>
      <c r="AP27" s="343">
        <v>8</v>
      </c>
      <c r="AQ27" s="257"/>
      <c r="AR27" s="257"/>
      <c r="AS27" s="257"/>
      <c r="AT27" s="257"/>
      <c r="AU27" s="257"/>
      <c r="AV27" s="257"/>
      <c r="AW27" s="257"/>
      <c r="AX27" s="257"/>
      <c r="AY27" s="460">
        <f t="shared" si="51"/>
        <v>0</v>
      </c>
      <c r="AZ27" s="465"/>
      <c r="BA27" s="257"/>
      <c r="BB27" s="257"/>
      <c r="BC27" s="257"/>
      <c r="BD27" s="257"/>
      <c r="BE27" s="257"/>
      <c r="BF27" s="257"/>
      <c r="BG27" s="257"/>
      <c r="BH27" s="462">
        <f t="shared" si="52"/>
        <v>0</v>
      </c>
      <c r="BI27" s="463">
        <f t="shared" si="53"/>
        <v>0</v>
      </c>
      <c r="BJ27" s="343">
        <v>8</v>
      </c>
      <c r="BK27" s="257"/>
      <c r="BL27" s="257"/>
      <c r="BM27" s="257"/>
      <c r="BN27" s="257"/>
      <c r="BO27" s="257"/>
      <c r="BP27" s="257"/>
      <c r="BQ27" s="257"/>
      <c r="BR27" s="257"/>
      <c r="BS27" s="460">
        <f t="shared" si="54"/>
        <v>0</v>
      </c>
      <c r="BT27" s="465"/>
      <c r="BU27" s="257"/>
      <c r="BV27" s="257"/>
      <c r="BW27" s="257"/>
      <c r="BX27" s="257"/>
      <c r="BY27" s="257"/>
      <c r="BZ27" s="257"/>
      <c r="CA27" s="257"/>
      <c r="CB27" s="462">
        <f t="shared" si="55"/>
        <v>0</v>
      </c>
      <c r="CC27" s="463">
        <f t="shared" si="56"/>
        <v>0</v>
      </c>
      <c r="CD27" s="343">
        <v>8</v>
      </c>
      <c r="CE27" s="462">
        <f t="shared" si="57"/>
        <v>0</v>
      </c>
      <c r="CF27" s="462">
        <f t="shared" si="58"/>
        <v>0</v>
      </c>
      <c r="CG27" s="462">
        <f t="shared" si="59"/>
        <v>0</v>
      </c>
      <c r="CH27" s="462">
        <f t="shared" si="60"/>
        <v>0</v>
      </c>
      <c r="CI27" s="464">
        <f t="shared" si="61"/>
        <v>0</v>
      </c>
      <c r="CJ27" s="462">
        <f t="shared" si="62"/>
        <v>0</v>
      </c>
      <c r="CK27" s="462">
        <f t="shared" si="63"/>
        <v>0</v>
      </c>
      <c r="CL27" s="462">
        <f t="shared" si="64"/>
        <v>0</v>
      </c>
      <c r="CM27" s="462">
        <f t="shared" si="65"/>
        <v>0</v>
      </c>
      <c r="CN27" s="464">
        <f t="shared" si="66"/>
        <v>0</v>
      </c>
      <c r="CO27" s="462">
        <f t="shared" si="67"/>
        <v>0</v>
      </c>
      <c r="CP27" s="462">
        <f t="shared" si="68"/>
        <v>0</v>
      </c>
      <c r="CQ27" s="462">
        <f t="shared" si="69"/>
        <v>0</v>
      </c>
      <c r="CR27" s="462">
        <f t="shared" si="70"/>
        <v>0</v>
      </c>
      <c r="CS27" s="464">
        <f t="shared" si="71"/>
        <v>0</v>
      </c>
      <c r="CT27" s="362"/>
      <c r="CV27" s="362"/>
      <c r="CX27" s="362"/>
    </row>
    <row r="28" spans="1:131" ht="15.75" customHeight="1" x14ac:dyDescent="0.25">
      <c r="A28" s="94" t="s">
        <v>1308</v>
      </c>
      <c r="B28" s="343">
        <v>9</v>
      </c>
      <c r="C28" s="257"/>
      <c r="D28" s="257"/>
      <c r="E28" s="257"/>
      <c r="F28" s="257"/>
      <c r="G28" s="257"/>
      <c r="H28" s="257"/>
      <c r="I28" s="257"/>
      <c r="J28" s="257"/>
      <c r="K28" s="460">
        <f t="shared" si="45"/>
        <v>0</v>
      </c>
      <c r="L28" s="465"/>
      <c r="M28" s="257"/>
      <c r="N28" s="257"/>
      <c r="O28" s="257"/>
      <c r="P28" s="257"/>
      <c r="Q28" s="257"/>
      <c r="R28" s="257"/>
      <c r="S28" s="257"/>
      <c r="T28" s="462">
        <f t="shared" si="46"/>
        <v>0</v>
      </c>
      <c r="U28" s="463">
        <f t="shared" si="47"/>
        <v>0</v>
      </c>
      <c r="V28" s="343">
        <v>9</v>
      </c>
      <c r="W28" s="257"/>
      <c r="X28" s="257"/>
      <c r="Y28" s="257"/>
      <c r="Z28" s="257"/>
      <c r="AA28" s="257"/>
      <c r="AB28" s="257"/>
      <c r="AC28" s="257"/>
      <c r="AD28" s="257"/>
      <c r="AE28" s="460">
        <f t="shared" si="48"/>
        <v>0</v>
      </c>
      <c r="AF28" s="465"/>
      <c r="AG28" s="257"/>
      <c r="AH28" s="257"/>
      <c r="AI28" s="257"/>
      <c r="AJ28" s="257"/>
      <c r="AK28" s="257"/>
      <c r="AL28" s="257"/>
      <c r="AM28" s="257"/>
      <c r="AN28" s="462">
        <f t="shared" si="49"/>
        <v>0</v>
      </c>
      <c r="AO28" s="463">
        <f t="shared" si="50"/>
        <v>0</v>
      </c>
      <c r="AP28" s="343">
        <v>9</v>
      </c>
      <c r="AQ28" s="257"/>
      <c r="AR28" s="257"/>
      <c r="AS28" s="257"/>
      <c r="AT28" s="257"/>
      <c r="AU28" s="257"/>
      <c r="AV28" s="257"/>
      <c r="AW28" s="257"/>
      <c r="AX28" s="257"/>
      <c r="AY28" s="460">
        <f t="shared" si="51"/>
        <v>0</v>
      </c>
      <c r="AZ28" s="465"/>
      <c r="BA28" s="257"/>
      <c r="BB28" s="257"/>
      <c r="BC28" s="257"/>
      <c r="BD28" s="257"/>
      <c r="BE28" s="257"/>
      <c r="BF28" s="257"/>
      <c r="BG28" s="257"/>
      <c r="BH28" s="462">
        <f t="shared" si="52"/>
        <v>0</v>
      </c>
      <c r="BI28" s="463">
        <f t="shared" si="53"/>
        <v>0</v>
      </c>
      <c r="BJ28" s="343">
        <v>9</v>
      </c>
      <c r="BK28" s="257"/>
      <c r="BL28" s="257"/>
      <c r="BM28" s="257"/>
      <c r="BN28" s="257"/>
      <c r="BO28" s="257"/>
      <c r="BP28" s="257"/>
      <c r="BQ28" s="257"/>
      <c r="BR28" s="257"/>
      <c r="BS28" s="460">
        <f t="shared" si="54"/>
        <v>0</v>
      </c>
      <c r="BT28" s="465"/>
      <c r="BU28" s="257"/>
      <c r="BV28" s="257"/>
      <c r="BW28" s="257"/>
      <c r="BX28" s="257"/>
      <c r="BY28" s="257"/>
      <c r="BZ28" s="257"/>
      <c r="CA28" s="257"/>
      <c r="CB28" s="462">
        <f t="shared" si="55"/>
        <v>0</v>
      </c>
      <c r="CC28" s="463">
        <f t="shared" si="56"/>
        <v>0</v>
      </c>
      <c r="CD28" s="343">
        <v>9</v>
      </c>
      <c r="CE28" s="462">
        <f t="shared" si="57"/>
        <v>0</v>
      </c>
      <c r="CF28" s="462">
        <f t="shared" si="58"/>
        <v>0</v>
      </c>
      <c r="CG28" s="462">
        <f t="shared" si="59"/>
        <v>0</v>
      </c>
      <c r="CH28" s="462">
        <f t="shared" si="60"/>
        <v>0</v>
      </c>
      <c r="CI28" s="464">
        <f t="shared" si="61"/>
        <v>0</v>
      </c>
      <c r="CJ28" s="462">
        <f t="shared" si="62"/>
        <v>0</v>
      </c>
      <c r="CK28" s="462">
        <f t="shared" si="63"/>
        <v>0</v>
      </c>
      <c r="CL28" s="462">
        <f t="shared" si="64"/>
        <v>0</v>
      </c>
      <c r="CM28" s="462">
        <f t="shared" si="65"/>
        <v>0</v>
      </c>
      <c r="CN28" s="464">
        <f t="shared" si="66"/>
        <v>0</v>
      </c>
      <c r="CO28" s="462">
        <f t="shared" si="67"/>
        <v>0</v>
      </c>
      <c r="CP28" s="462">
        <f t="shared" si="68"/>
        <v>0</v>
      </c>
      <c r="CQ28" s="462">
        <f t="shared" si="69"/>
        <v>0</v>
      </c>
      <c r="CR28" s="462">
        <f t="shared" si="70"/>
        <v>0</v>
      </c>
      <c r="CS28" s="464">
        <f t="shared" si="71"/>
        <v>0</v>
      </c>
      <c r="CT28" s="362"/>
      <c r="CV28" s="362"/>
      <c r="CX28" s="362"/>
    </row>
    <row r="29" spans="1:131" ht="15.75" customHeight="1" x14ac:dyDescent="0.25">
      <c r="A29" s="94" t="s">
        <v>140</v>
      </c>
      <c r="B29" s="343">
        <v>10</v>
      </c>
      <c r="C29" s="257">
        <v>0</v>
      </c>
      <c r="D29" s="257">
        <v>0</v>
      </c>
      <c r="E29" s="257">
        <v>0</v>
      </c>
      <c r="F29" s="257">
        <v>0</v>
      </c>
      <c r="G29" s="257">
        <v>0</v>
      </c>
      <c r="H29" s="257">
        <v>0</v>
      </c>
      <c r="I29" s="257">
        <v>0</v>
      </c>
      <c r="J29" s="257">
        <v>0</v>
      </c>
      <c r="K29" s="460">
        <f t="shared" si="45"/>
        <v>0</v>
      </c>
      <c r="L29" s="465">
        <v>0</v>
      </c>
      <c r="M29" s="257">
        <v>6.4590188209676553E-5</v>
      </c>
      <c r="N29" s="257">
        <v>0</v>
      </c>
      <c r="O29" s="257">
        <v>5.8222923342877464E-5</v>
      </c>
      <c r="P29" s="257">
        <v>0</v>
      </c>
      <c r="Q29" s="257">
        <v>6.3462637922524548E-5</v>
      </c>
      <c r="R29" s="257">
        <v>0</v>
      </c>
      <c r="S29" s="257">
        <v>6.3654030831097343E-5</v>
      </c>
      <c r="T29" s="462">
        <f t="shared" si="46"/>
        <v>2.4992978030617593E-4</v>
      </c>
      <c r="U29" s="463">
        <f t="shared" si="47"/>
        <v>2.4992978030617593E-4</v>
      </c>
      <c r="V29" s="343">
        <v>10</v>
      </c>
      <c r="W29" s="257">
        <v>0</v>
      </c>
      <c r="X29" s="257">
        <v>0</v>
      </c>
      <c r="Y29" s="257">
        <v>0</v>
      </c>
      <c r="Z29" s="257">
        <v>0</v>
      </c>
      <c r="AA29" s="257">
        <v>0</v>
      </c>
      <c r="AB29" s="257">
        <v>0</v>
      </c>
      <c r="AC29" s="257">
        <v>0</v>
      </c>
      <c r="AD29" s="257">
        <v>0</v>
      </c>
      <c r="AE29" s="460">
        <f t="shared" si="48"/>
        <v>0</v>
      </c>
      <c r="AF29" s="465">
        <v>0</v>
      </c>
      <c r="AG29" s="257">
        <v>1.9895904806661847E-5</v>
      </c>
      <c r="AH29" s="257">
        <v>0</v>
      </c>
      <c r="AI29" s="257">
        <v>1.5635659856599389E-5</v>
      </c>
      <c r="AJ29" s="257">
        <v>0</v>
      </c>
      <c r="AK29" s="257">
        <v>1.6786751454793757E-5</v>
      </c>
      <c r="AL29" s="257">
        <v>0</v>
      </c>
      <c r="AM29" s="257">
        <v>1.6623981770428968E-5</v>
      </c>
      <c r="AN29" s="462">
        <f t="shared" si="49"/>
        <v>6.8942297888483972E-5</v>
      </c>
      <c r="AO29" s="463">
        <f t="shared" si="50"/>
        <v>6.8942297888483972E-5</v>
      </c>
      <c r="AP29" s="343">
        <v>10</v>
      </c>
      <c r="AQ29" s="257">
        <v>0</v>
      </c>
      <c r="AR29" s="257">
        <v>0</v>
      </c>
      <c r="AS29" s="257">
        <v>0</v>
      </c>
      <c r="AT29" s="257">
        <v>0</v>
      </c>
      <c r="AU29" s="257">
        <v>0</v>
      </c>
      <c r="AV29" s="257">
        <v>0</v>
      </c>
      <c r="AW29" s="257">
        <v>0</v>
      </c>
      <c r="AX29" s="257">
        <v>0</v>
      </c>
      <c r="AY29" s="460">
        <f t="shared" si="51"/>
        <v>0</v>
      </c>
      <c r="AZ29" s="465">
        <v>0</v>
      </c>
      <c r="BA29" s="257">
        <v>4.9579380692713027E-4</v>
      </c>
      <c r="BB29" s="257">
        <v>0</v>
      </c>
      <c r="BC29" s="257">
        <v>4.0065686393254968E-4</v>
      </c>
      <c r="BD29" s="257">
        <v>0</v>
      </c>
      <c r="BE29" s="257">
        <v>4.5796477618262034E-4</v>
      </c>
      <c r="BF29" s="257">
        <v>0</v>
      </c>
      <c r="BG29" s="257">
        <v>4.6010805428964172E-4</v>
      </c>
      <c r="BH29" s="462">
        <f t="shared" si="52"/>
        <v>1.8145235013319418E-3</v>
      </c>
      <c r="BI29" s="463">
        <f t="shared" si="53"/>
        <v>1.8145235013319418E-3</v>
      </c>
      <c r="BJ29" s="343">
        <v>10</v>
      </c>
      <c r="BK29" s="257">
        <v>0</v>
      </c>
      <c r="BL29" s="257">
        <v>0</v>
      </c>
      <c r="BM29" s="257">
        <v>0</v>
      </c>
      <c r="BN29" s="257">
        <v>0</v>
      </c>
      <c r="BO29" s="257">
        <v>0</v>
      </c>
      <c r="BP29" s="257">
        <v>0</v>
      </c>
      <c r="BQ29" s="257">
        <v>0</v>
      </c>
      <c r="BR29" s="257">
        <v>0</v>
      </c>
      <c r="BS29" s="460">
        <f t="shared" si="54"/>
        <v>0</v>
      </c>
      <c r="BT29" s="465">
        <v>0</v>
      </c>
      <c r="BU29" s="257">
        <v>1.7821937367192748E-5</v>
      </c>
      <c r="BV29" s="257">
        <v>0</v>
      </c>
      <c r="BW29" s="257">
        <v>1.5175756585334716E-5</v>
      </c>
      <c r="BX29" s="257">
        <v>0</v>
      </c>
      <c r="BY29" s="257">
        <v>1.6535747173044749E-5</v>
      </c>
      <c r="BZ29" s="257">
        <v>0</v>
      </c>
      <c r="CA29" s="257">
        <v>2.0335199998623813E-5</v>
      </c>
      <c r="CB29" s="462">
        <f t="shared" si="55"/>
        <v>6.9868641124196026E-5</v>
      </c>
      <c r="CC29" s="463">
        <f t="shared" si="56"/>
        <v>6.9868641124196026E-5</v>
      </c>
      <c r="CD29" s="343">
        <v>10</v>
      </c>
      <c r="CE29" s="462">
        <f t="shared" si="57"/>
        <v>0</v>
      </c>
      <c r="CF29" s="462">
        <f t="shared" si="58"/>
        <v>0</v>
      </c>
      <c r="CG29" s="462">
        <f t="shared" si="59"/>
        <v>0</v>
      </c>
      <c r="CH29" s="462">
        <f t="shared" si="60"/>
        <v>0</v>
      </c>
      <c r="CI29" s="464">
        <f t="shared" si="61"/>
        <v>0</v>
      </c>
      <c r="CJ29" s="462">
        <f t="shared" si="62"/>
        <v>5.9810183731066142E-4</v>
      </c>
      <c r="CK29" s="462">
        <f t="shared" si="63"/>
        <v>4.8969120371736123E-4</v>
      </c>
      <c r="CL29" s="462">
        <f t="shared" si="64"/>
        <v>5.5474991273298337E-4</v>
      </c>
      <c r="CM29" s="462">
        <f t="shared" si="65"/>
        <v>5.6072126688979187E-4</v>
      </c>
      <c r="CN29" s="464">
        <f t="shared" si="66"/>
        <v>2.2032642206507979E-3</v>
      </c>
      <c r="CO29" s="462">
        <f t="shared" si="67"/>
        <v>5.9810183731066142E-4</v>
      </c>
      <c r="CP29" s="462">
        <f t="shared" si="68"/>
        <v>4.8969120371736123E-4</v>
      </c>
      <c r="CQ29" s="462">
        <f t="shared" si="69"/>
        <v>5.5474991273298337E-4</v>
      </c>
      <c r="CR29" s="462">
        <f t="shared" si="70"/>
        <v>5.6072126688979187E-4</v>
      </c>
      <c r="CS29" s="464">
        <f t="shared" si="71"/>
        <v>2.2032642206507979E-3</v>
      </c>
      <c r="CT29" s="362"/>
      <c r="CV29" s="362"/>
      <c r="CX29" s="362"/>
    </row>
    <row r="30" spans="1:131" ht="15.75" customHeight="1" x14ac:dyDescent="0.25">
      <c r="A30" s="148" t="s">
        <v>142</v>
      </c>
      <c r="B30" s="343">
        <v>11</v>
      </c>
      <c r="C30" s="150">
        <f t="shared" ref="C30:J30" si="72">SUM(C25:C29)</f>
        <v>0</v>
      </c>
      <c r="D30" s="150">
        <f t="shared" si="72"/>
        <v>0</v>
      </c>
      <c r="E30" s="150">
        <f t="shared" si="72"/>
        <v>0</v>
      </c>
      <c r="F30" s="150">
        <f t="shared" si="72"/>
        <v>0</v>
      </c>
      <c r="G30" s="150">
        <f t="shared" si="72"/>
        <v>0</v>
      </c>
      <c r="H30" s="150">
        <f t="shared" si="72"/>
        <v>0</v>
      </c>
      <c r="I30" s="150">
        <f t="shared" si="72"/>
        <v>0</v>
      </c>
      <c r="J30" s="150">
        <f t="shared" si="72"/>
        <v>0</v>
      </c>
      <c r="K30" s="460">
        <f t="shared" si="45"/>
        <v>0</v>
      </c>
      <c r="L30" s="237">
        <f t="shared" ref="L30:S30" si="73">SUM(L25:L29)</f>
        <v>0</v>
      </c>
      <c r="M30" s="150">
        <f t="shared" si="73"/>
        <v>6.4590188209676553E-5</v>
      </c>
      <c r="N30" s="150">
        <f t="shared" si="73"/>
        <v>0</v>
      </c>
      <c r="O30" s="150">
        <f t="shared" si="73"/>
        <v>5.8222923342877464E-5</v>
      </c>
      <c r="P30" s="150">
        <f t="shared" si="73"/>
        <v>0</v>
      </c>
      <c r="Q30" s="150">
        <f t="shared" si="73"/>
        <v>6.3462637922524548E-5</v>
      </c>
      <c r="R30" s="150">
        <f t="shared" si="73"/>
        <v>0</v>
      </c>
      <c r="S30" s="150">
        <f t="shared" si="73"/>
        <v>6.3654030831097343E-5</v>
      </c>
      <c r="T30" s="462">
        <f t="shared" si="46"/>
        <v>2.4992978030617593E-4</v>
      </c>
      <c r="U30" s="463">
        <f t="shared" si="47"/>
        <v>2.4992978030617593E-4</v>
      </c>
      <c r="V30" s="343">
        <v>11</v>
      </c>
      <c r="W30" s="150">
        <f t="shared" ref="W30:AD30" si="74">SUM(W25:W29)</f>
        <v>0</v>
      </c>
      <c r="X30" s="150">
        <f t="shared" si="74"/>
        <v>0</v>
      </c>
      <c r="Y30" s="150">
        <f t="shared" si="74"/>
        <v>0</v>
      </c>
      <c r="Z30" s="150">
        <f t="shared" si="74"/>
        <v>0</v>
      </c>
      <c r="AA30" s="150">
        <f t="shared" si="74"/>
        <v>0</v>
      </c>
      <c r="AB30" s="150">
        <f t="shared" si="74"/>
        <v>0</v>
      </c>
      <c r="AC30" s="150">
        <f t="shared" si="74"/>
        <v>0</v>
      </c>
      <c r="AD30" s="150">
        <f t="shared" si="74"/>
        <v>0</v>
      </c>
      <c r="AE30" s="460">
        <f t="shared" si="48"/>
        <v>0</v>
      </c>
      <c r="AF30" s="237">
        <f t="shared" ref="AF30:AM30" si="75">SUM(AF25:AF29)</f>
        <v>0</v>
      </c>
      <c r="AG30" s="150">
        <f t="shared" si="75"/>
        <v>1.9895904806661847E-5</v>
      </c>
      <c r="AH30" s="150">
        <f t="shared" si="75"/>
        <v>0</v>
      </c>
      <c r="AI30" s="150">
        <f t="shared" si="75"/>
        <v>1.5635659856599389E-5</v>
      </c>
      <c r="AJ30" s="150">
        <f t="shared" si="75"/>
        <v>0</v>
      </c>
      <c r="AK30" s="150">
        <f t="shared" si="75"/>
        <v>1.6786751454793757E-5</v>
      </c>
      <c r="AL30" s="150">
        <f t="shared" si="75"/>
        <v>0</v>
      </c>
      <c r="AM30" s="150">
        <f t="shared" si="75"/>
        <v>1.6623981770428968E-5</v>
      </c>
      <c r="AN30" s="462">
        <f t="shared" si="49"/>
        <v>6.8942297888483972E-5</v>
      </c>
      <c r="AO30" s="463">
        <f t="shared" si="50"/>
        <v>6.8942297888483972E-5</v>
      </c>
      <c r="AP30" s="343">
        <v>11</v>
      </c>
      <c r="AQ30" s="150">
        <f t="shared" ref="AQ30:AX30" si="76">SUM(AQ25:AQ29)</f>
        <v>0</v>
      </c>
      <c r="AR30" s="150">
        <f t="shared" si="76"/>
        <v>0</v>
      </c>
      <c r="AS30" s="150">
        <f t="shared" si="76"/>
        <v>0</v>
      </c>
      <c r="AT30" s="150">
        <f t="shared" si="76"/>
        <v>0</v>
      </c>
      <c r="AU30" s="150">
        <f t="shared" si="76"/>
        <v>0</v>
      </c>
      <c r="AV30" s="150">
        <f t="shared" si="76"/>
        <v>0</v>
      </c>
      <c r="AW30" s="150">
        <f t="shared" si="76"/>
        <v>0</v>
      </c>
      <c r="AX30" s="150">
        <f t="shared" si="76"/>
        <v>0</v>
      </c>
      <c r="AY30" s="460">
        <f t="shared" si="51"/>
        <v>0</v>
      </c>
      <c r="AZ30" s="237">
        <f t="shared" ref="AZ30:BG30" si="77">SUM(AZ25:AZ29)</f>
        <v>0</v>
      </c>
      <c r="BA30" s="150">
        <f t="shared" si="77"/>
        <v>4.9579380692713027E-4</v>
      </c>
      <c r="BB30" s="150">
        <f t="shared" si="77"/>
        <v>0</v>
      </c>
      <c r="BC30" s="150">
        <f t="shared" si="77"/>
        <v>4.0065686393254968E-4</v>
      </c>
      <c r="BD30" s="150">
        <f t="shared" si="77"/>
        <v>0</v>
      </c>
      <c r="BE30" s="150">
        <f t="shared" si="77"/>
        <v>4.5796477618262034E-4</v>
      </c>
      <c r="BF30" s="150">
        <f t="shared" si="77"/>
        <v>0</v>
      </c>
      <c r="BG30" s="150">
        <f t="shared" si="77"/>
        <v>4.6010805428964172E-4</v>
      </c>
      <c r="BH30" s="462">
        <f t="shared" si="52"/>
        <v>1.8145235013319418E-3</v>
      </c>
      <c r="BI30" s="463">
        <f t="shared" si="53"/>
        <v>1.8145235013319418E-3</v>
      </c>
      <c r="BJ30" s="343">
        <v>11</v>
      </c>
      <c r="BK30" s="150">
        <f t="shared" ref="BK30:BR30" si="78">SUM(BK25:BK29)</f>
        <v>29390.371466433498</v>
      </c>
      <c r="BL30" s="150">
        <f t="shared" si="78"/>
        <v>315377.31577218627</v>
      </c>
      <c r="BM30" s="150">
        <f t="shared" si="78"/>
        <v>31749.768214923402</v>
      </c>
      <c r="BN30" s="150">
        <f t="shared" si="78"/>
        <v>312804.5542379354</v>
      </c>
      <c r="BO30" s="150">
        <f t="shared" si="78"/>
        <v>29246.927160003361</v>
      </c>
      <c r="BP30" s="150">
        <f t="shared" si="78"/>
        <v>311193.79816682037</v>
      </c>
      <c r="BQ30" s="150">
        <f t="shared" si="78"/>
        <v>149320.08203506752</v>
      </c>
      <c r="BR30" s="150">
        <f t="shared" si="78"/>
        <v>1334365.0945914397</v>
      </c>
      <c r="BS30" s="460">
        <f t="shared" si="54"/>
        <v>2513447.9116448094</v>
      </c>
      <c r="BT30" s="237">
        <f t="shared" ref="BT30:CA30" si="79">SUM(BT25:BT29)</f>
        <v>0</v>
      </c>
      <c r="BU30" s="150">
        <f t="shared" si="79"/>
        <v>1.7821937367192748E-5</v>
      </c>
      <c r="BV30" s="150">
        <f t="shared" si="79"/>
        <v>0</v>
      </c>
      <c r="BW30" s="150">
        <f t="shared" si="79"/>
        <v>1.5175756585334716E-5</v>
      </c>
      <c r="BX30" s="150">
        <f t="shared" si="79"/>
        <v>0</v>
      </c>
      <c r="BY30" s="150">
        <f t="shared" si="79"/>
        <v>1.6535747173044749E-5</v>
      </c>
      <c r="BZ30" s="150">
        <f t="shared" si="79"/>
        <v>0</v>
      </c>
      <c r="CA30" s="150">
        <f t="shared" si="79"/>
        <v>2.0335199998623813E-5</v>
      </c>
      <c r="CB30" s="462">
        <f t="shared" si="55"/>
        <v>6.9868641124196026E-5</v>
      </c>
      <c r="CC30" s="463">
        <f t="shared" si="56"/>
        <v>2513447.9117146782</v>
      </c>
      <c r="CD30" s="343">
        <v>11</v>
      </c>
      <c r="CE30" s="462">
        <f t="shared" si="57"/>
        <v>344767.68723861978</v>
      </c>
      <c r="CF30" s="462">
        <f t="shared" si="58"/>
        <v>344554.32245285879</v>
      </c>
      <c r="CG30" s="462">
        <f t="shared" si="59"/>
        <v>340440.72532682371</v>
      </c>
      <c r="CH30" s="462">
        <f t="shared" si="60"/>
        <v>1483685.1766265072</v>
      </c>
      <c r="CI30" s="464">
        <f t="shared" si="61"/>
        <v>2513447.9116448094</v>
      </c>
      <c r="CJ30" s="462">
        <f t="shared" si="62"/>
        <v>5.9810183731066142E-4</v>
      </c>
      <c r="CK30" s="462">
        <f t="shared" si="63"/>
        <v>4.8969120371736123E-4</v>
      </c>
      <c r="CL30" s="462">
        <f t="shared" si="64"/>
        <v>5.5474991273298337E-4</v>
      </c>
      <c r="CM30" s="462">
        <f t="shared" si="65"/>
        <v>5.6072126688979187E-4</v>
      </c>
      <c r="CN30" s="464">
        <f t="shared" si="66"/>
        <v>2.2032642206507979E-3</v>
      </c>
      <c r="CO30" s="462">
        <f t="shared" si="67"/>
        <v>344767.6878367216</v>
      </c>
      <c r="CP30" s="462">
        <f t="shared" si="68"/>
        <v>344554.32294255006</v>
      </c>
      <c r="CQ30" s="462">
        <f t="shared" si="69"/>
        <v>340440.72588157363</v>
      </c>
      <c r="CR30" s="462">
        <f t="shared" si="70"/>
        <v>1483685.1771872286</v>
      </c>
      <c r="CS30" s="464">
        <f t="shared" si="71"/>
        <v>2513447.9138480737</v>
      </c>
    </row>
    <row r="31" spans="1:131" ht="15.75" customHeight="1" x14ac:dyDescent="0.25">
      <c r="A31" s="148" t="s">
        <v>146</v>
      </c>
      <c r="B31" s="343"/>
      <c r="C31" s="207" t="s">
        <v>32</v>
      </c>
      <c r="D31" s="207" t="s">
        <v>32</v>
      </c>
      <c r="E31" s="207" t="s">
        <v>32</v>
      </c>
      <c r="F31" s="207" t="s">
        <v>32</v>
      </c>
      <c r="G31" s="207" t="s">
        <v>32</v>
      </c>
      <c r="H31" s="207" t="s">
        <v>32</v>
      </c>
      <c r="I31" s="207" t="s">
        <v>32</v>
      </c>
      <c r="J31" s="207" t="s">
        <v>32</v>
      </c>
      <c r="K31" s="426"/>
      <c r="L31" s="427" t="s">
        <v>32</v>
      </c>
      <c r="M31" s="207" t="s">
        <v>32</v>
      </c>
      <c r="N31" s="207" t="s">
        <v>32</v>
      </c>
      <c r="O31" s="207" t="s">
        <v>32</v>
      </c>
      <c r="P31" s="207" t="s">
        <v>32</v>
      </c>
      <c r="Q31" s="207" t="s">
        <v>32</v>
      </c>
      <c r="R31" s="207" t="s">
        <v>32</v>
      </c>
      <c r="S31" s="207" t="s">
        <v>32</v>
      </c>
      <c r="T31" s="428"/>
      <c r="U31" s="427" t="s">
        <v>32</v>
      </c>
      <c r="V31" s="343"/>
      <c r="W31" s="207" t="s">
        <v>32</v>
      </c>
      <c r="X31" s="207" t="s">
        <v>32</v>
      </c>
      <c r="Y31" s="207" t="s">
        <v>32</v>
      </c>
      <c r="Z31" s="207" t="s">
        <v>32</v>
      </c>
      <c r="AA31" s="207" t="s">
        <v>32</v>
      </c>
      <c r="AB31" s="207" t="s">
        <v>32</v>
      </c>
      <c r="AC31" s="207" t="s">
        <v>32</v>
      </c>
      <c r="AD31" s="207" t="s">
        <v>32</v>
      </c>
      <c r="AE31" s="426"/>
      <c r="AF31" s="427" t="s">
        <v>32</v>
      </c>
      <c r="AG31" s="207" t="s">
        <v>32</v>
      </c>
      <c r="AH31" s="207" t="s">
        <v>32</v>
      </c>
      <c r="AI31" s="207" t="s">
        <v>32</v>
      </c>
      <c r="AJ31" s="207" t="s">
        <v>32</v>
      </c>
      <c r="AK31" s="207" t="s">
        <v>32</v>
      </c>
      <c r="AL31" s="207" t="s">
        <v>32</v>
      </c>
      <c r="AM31" s="207" t="s">
        <v>32</v>
      </c>
      <c r="AN31" s="428"/>
      <c r="AO31" s="427" t="s">
        <v>32</v>
      </c>
      <c r="AP31" s="343"/>
      <c r="AQ31" s="207" t="s">
        <v>32</v>
      </c>
      <c r="AR31" s="207" t="s">
        <v>32</v>
      </c>
      <c r="AS31" s="207" t="s">
        <v>32</v>
      </c>
      <c r="AT31" s="207" t="s">
        <v>32</v>
      </c>
      <c r="AU31" s="207" t="s">
        <v>32</v>
      </c>
      <c r="AV31" s="207" t="s">
        <v>32</v>
      </c>
      <c r="AW31" s="207" t="s">
        <v>32</v>
      </c>
      <c r="AX31" s="207" t="s">
        <v>32</v>
      </c>
      <c r="AY31" s="426"/>
      <c r="AZ31" s="427" t="s">
        <v>32</v>
      </c>
      <c r="BA31" s="207" t="s">
        <v>32</v>
      </c>
      <c r="BB31" s="207" t="s">
        <v>32</v>
      </c>
      <c r="BC31" s="207" t="s">
        <v>32</v>
      </c>
      <c r="BD31" s="207" t="s">
        <v>32</v>
      </c>
      <c r="BE31" s="207" t="s">
        <v>32</v>
      </c>
      <c r="BF31" s="207" t="s">
        <v>32</v>
      </c>
      <c r="BG31" s="207" t="s">
        <v>32</v>
      </c>
      <c r="BH31" s="428"/>
      <c r="BI31" s="427" t="s">
        <v>32</v>
      </c>
      <c r="BJ31" s="343"/>
      <c r="BK31" s="207" t="s">
        <v>32</v>
      </c>
      <c r="BL31" s="207" t="s">
        <v>32</v>
      </c>
      <c r="BM31" s="207" t="s">
        <v>32</v>
      </c>
      <c r="BN31" s="207" t="s">
        <v>32</v>
      </c>
      <c r="BO31" s="207" t="s">
        <v>32</v>
      </c>
      <c r="BP31" s="207" t="s">
        <v>32</v>
      </c>
      <c r="BQ31" s="207" t="s">
        <v>32</v>
      </c>
      <c r="BR31" s="207" t="s">
        <v>32</v>
      </c>
      <c r="BS31" s="426"/>
      <c r="BT31" s="427" t="s">
        <v>32</v>
      </c>
      <c r="BU31" s="207" t="s">
        <v>32</v>
      </c>
      <c r="BV31" s="207" t="s">
        <v>32</v>
      </c>
      <c r="BW31" s="207" t="s">
        <v>32</v>
      </c>
      <c r="BX31" s="207" t="s">
        <v>32</v>
      </c>
      <c r="BY31" s="207" t="s">
        <v>32</v>
      </c>
      <c r="BZ31" s="207" t="s">
        <v>32</v>
      </c>
      <c r="CA31" s="207" t="s">
        <v>32</v>
      </c>
      <c r="CB31" s="428"/>
      <c r="CC31" s="427" t="s">
        <v>32</v>
      </c>
      <c r="CD31" s="343"/>
      <c r="CE31" s="428"/>
      <c r="CF31" s="428"/>
      <c r="CG31" s="428"/>
      <c r="CH31" s="428"/>
      <c r="CI31" s="207"/>
      <c r="CJ31" s="428"/>
      <c r="CK31" s="428"/>
      <c r="CL31" s="428"/>
      <c r="CM31" s="428"/>
      <c r="CN31" s="207"/>
      <c r="CO31" s="428"/>
      <c r="CP31" s="428"/>
      <c r="CQ31" s="428"/>
      <c r="CR31" s="428"/>
      <c r="CS31" s="207"/>
    </row>
    <row r="32" spans="1:131" s="17" customFormat="1" ht="15.75" customHeight="1" x14ac:dyDescent="0.25">
      <c r="A32" s="19" t="s">
        <v>45</v>
      </c>
      <c r="B32" s="343">
        <v>12</v>
      </c>
      <c r="C32" s="236">
        <f t="shared" ref="C32:U32" si="80">C23+C30</f>
        <v>1150819.5300000301</v>
      </c>
      <c r="D32" s="236">
        <f t="shared" si="80"/>
        <v>2181917.8900002399</v>
      </c>
      <c r="E32" s="236">
        <f t="shared" si="80"/>
        <v>1170535.93000003</v>
      </c>
      <c r="F32" s="236">
        <f t="shared" si="80"/>
        <v>2263825.41000026</v>
      </c>
      <c r="G32" s="236">
        <f t="shared" si="80"/>
        <v>1183184.74000004</v>
      </c>
      <c r="H32" s="236">
        <f t="shared" si="80"/>
        <v>2365228.6700002798</v>
      </c>
      <c r="I32" s="236">
        <f t="shared" si="80"/>
        <v>1227627.7600000401</v>
      </c>
      <c r="J32" s="236">
        <f t="shared" si="80"/>
        <v>2386902.3000002801</v>
      </c>
      <c r="K32" s="241">
        <f t="shared" si="80"/>
        <v>13930042.2300012</v>
      </c>
      <c r="L32" s="238">
        <f t="shared" si="80"/>
        <v>0</v>
      </c>
      <c r="M32" s="236">
        <f t="shared" si="80"/>
        <v>5841289.8126215255</v>
      </c>
      <c r="N32" s="236">
        <f t="shared" si="80"/>
        <v>0</v>
      </c>
      <c r="O32" s="236">
        <f t="shared" si="80"/>
        <v>5379073.7130369833</v>
      </c>
      <c r="P32" s="236">
        <f t="shared" si="80"/>
        <v>0</v>
      </c>
      <c r="Q32" s="236">
        <f t="shared" si="80"/>
        <v>6083007.7266725451</v>
      </c>
      <c r="R32" s="236">
        <f t="shared" si="80"/>
        <v>0</v>
      </c>
      <c r="S32" s="236">
        <f t="shared" si="80"/>
        <v>6208058.8256855551</v>
      </c>
      <c r="T32" s="239">
        <f t="shared" si="80"/>
        <v>23511430.078016609</v>
      </c>
      <c r="U32" s="238">
        <f t="shared" si="80"/>
        <v>37441472.308017813</v>
      </c>
      <c r="V32" s="343">
        <v>12</v>
      </c>
      <c r="W32" s="236">
        <f t="shared" ref="W32:AO32" si="81">W23+W30</f>
        <v>177985.3</v>
      </c>
      <c r="X32" s="236">
        <f t="shared" si="81"/>
        <v>994432.38000001898</v>
      </c>
      <c r="Y32" s="236">
        <f t="shared" si="81"/>
        <v>184949.97</v>
      </c>
      <c r="Z32" s="236">
        <f t="shared" si="81"/>
        <v>947873.12000001804</v>
      </c>
      <c r="AA32" s="236">
        <f t="shared" si="81"/>
        <v>169510.74</v>
      </c>
      <c r="AB32" s="236">
        <f t="shared" si="81"/>
        <v>966824.41000001901</v>
      </c>
      <c r="AC32" s="236">
        <f t="shared" si="81"/>
        <v>180161.79</v>
      </c>
      <c r="AD32" s="236">
        <f t="shared" si="81"/>
        <v>988270.23000001896</v>
      </c>
      <c r="AE32" s="241">
        <f t="shared" si="81"/>
        <v>4610007.9400000749</v>
      </c>
      <c r="AF32" s="238">
        <f t="shared" si="81"/>
        <v>0</v>
      </c>
      <c r="AG32" s="236">
        <f t="shared" si="81"/>
        <v>1931634.7795507645</v>
      </c>
      <c r="AH32" s="236">
        <f t="shared" si="81"/>
        <v>0</v>
      </c>
      <c r="AI32" s="236">
        <f t="shared" si="81"/>
        <v>1541025.7272376413</v>
      </c>
      <c r="AJ32" s="236">
        <f t="shared" si="81"/>
        <v>0</v>
      </c>
      <c r="AK32" s="236">
        <f t="shared" si="81"/>
        <v>1654251.5662349374</v>
      </c>
      <c r="AL32" s="236">
        <f t="shared" si="81"/>
        <v>0</v>
      </c>
      <c r="AM32" s="236">
        <f t="shared" si="81"/>
        <v>1689564.5932293448</v>
      </c>
      <c r="AN32" s="239">
        <f t="shared" si="81"/>
        <v>6816476.6662526876</v>
      </c>
      <c r="AO32" s="238">
        <f t="shared" si="81"/>
        <v>11426484.606252762</v>
      </c>
      <c r="AP32" s="343">
        <v>12</v>
      </c>
      <c r="AQ32" s="236">
        <f t="shared" ref="AQ32:BI32" si="82">AQ23+AQ30</f>
        <v>19100116.4299982</v>
      </c>
      <c r="AR32" s="236">
        <f t="shared" si="82"/>
        <v>43128661.440006398</v>
      </c>
      <c r="AS32" s="236">
        <f t="shared" si="82"/>
        <v>20419911.159998003</v>
      </c>
      <c r="AT32" s="236">
        <f t="shared" si="82"/>
        <v>45563136.970009305</v>
      </c>
      <c r="AU32" s="236">
        <f t="shared" si="82"/>
        <v>21558446.110000599</v>
      </c>
      <c r="AV32" s="236">
        <f t="shared" si="82"/>
        <v>48005613.160017006</v>
      </c>
      <c r="AW32" s="236">
        <f t="shared" si="82"/>
        <v>23376653.940001201</v>
      </c>
      <c r="AX32" s="236">
        <f t="shared" si="82"/>
        <v>50133723.1100199</v>
      </c>
      <c r="AY32" s="241">
        <f t="shared" si="82"/>
        <v>271286262.3200506</v>
      </c>
      <c r="AZ32" s="238">
        <f t="shared" si="82"/>
        <v>0</v>
      </c>
      <c r="BA32" s="236">
        <f t="shared" si="82"/>
        <v>45203044.449413873</v>
      </c>
      <c r="BB32" s="236">
        <f t="shared" si="82"/>
        <v>0</v>
      </c>
      <c r="BC32" s="236">
        <f t="shared" si="82"/>
        <v>38162747.839185126</v>
      </c>
      <c r="BD32" s="236">
        <f t="shared" si="82"/>
        <v>0</v>
      </c>
      <c r="BE32" s="236">
        <f t="shared" si="82"/>
        <v>43734785.462445863</v>
      </c>
      <c r="BF32" s="236">
        <f t="shared" si="82"/>
        <v>0</v>
      </c>
      <c r="BG32" s="236">
        <f t="shared" si="82"/>
        <v>44438415.50551185</v>
      </c>
      <c r="BH32" s="239">
        <f t="shared" si="82"/>
        <v>171538993.25655672</v>
      </c>
      <c r="BI32" s="238">
        <f t="shared" si="82"/>
        <v>442825255.57660735</v>
      </c>
      <c r="BJ32" s="343">
        <v>12</v>
      </c>
      <c r="BK32" s="236">
        <f t="shared" ref="BK32:CC32" si="83">BK23+BK30</f>
        <v>423053.87146643351</v>
      </c>
      <c r="BL32" s="236">
        <f t="shared" si="83"/>
        <v>4539636.2057721866</v>
      </c>
      <c r="BM32" s="236">
        <f t="shared" si="83"/>
        <v>455006.00821492338</v>
      </c>
      <c r="BN32" s="236">
        <f t="shared" si="83"/>
        <v>4482802.8542379346</v>
      </c>
      <c r="BO32" s="236">
        <f t="shared" si="83"/>
        <v>408517.40716000338</v>
      </c>
      <c r="BP32" s="236">
        <f t="shared" si="83"/>
        <v>4346715.9081668211</v>
      </c>
      <c r="BQ32" s="236">
        <f t="shared" si="83"/>
        <v>634002.56203506759</v>
      </c>
      <c r="BR32" s="236">
        <f t="shared" si="83"/>
        <v>5665620.3045914406</v>
      </c>
      <c r="BS32" s="241">
        <f t="shared" si="83"/>
        <v>20955355.12164481</v>
      </c>
      <c r="BT32" s="238">
        <f t="shared" si="83"/>
        <v>0</v>
      </c>
      <c r="BU32" s="236">
        <f t="shared" si="83"/>
        <v>1562556.9721328584</v>
      </c>
      <c r="BV32" s="236">
        <f t="shared" si="83"/>
        <v>0</v>
      </c>
      <c r="BW32" s="236">
        <f t="shared" si="83"/>
        <v>1357091.1254994322</v>
      </c>
      <c r="BX32" s="236">
        <f t="shared" si="83"/>
        <v>0</v>
      </c>
      <c r="BY32" s="236">
        <f t="shared" si="83"/>
        <v>1459149.6795199977</v>
      </c>
      <c r="BZ32" s="236">
        <f t="shared" si="83"/>
        <v>0</v>
      </c>
      <c r="CA32" s="236">
        <f t="shared" si="83"/>
        <v>1728906.6851564893</v>
      </c>
      <c r="CB32" s="239">
        <f t="shared" si="83"/>
        <v>6107704.4623087784</v>
      </c>
      <c r="CC32" s="238">
        <f t="shared" si="83"/>
        <v>27063059.583953585</v>
      </c>
      <c r="CD32" s="343">
        <v>12</v>
      </c>
      <c r="CE32" s="239">
        <f t="shared" ref="CE32:CH32" si="84">CE23+CE30</f>
        <v>71696623.047243506</v>
      </c>
      <c r="CF32" s="239">
        <f t="shared" si="84"/>
        <v>75488041.422460467</v>
      </c>
      <c r="CG32" s="239">
        <f t="shared" si="84"/>
        <v>79004041.145344764</v>
      </c>
      <c r="CH32" s="239">
        <f t="shared" si="84"/>
        <v>84592961.996647954</v>
      </c>
      <c r="CI32" s="236">
        <f>SUM(BS32,AY32,AE32,K32)</f>
        <v>310781667.61169666</v>
      </c>
      <c r="CJ32" s="239">
        <f t="shared" ref="CJ32:CM32" si="85">CJ23+CJ30</f>
        <v>54538526.01371903</v>
      </c>
      <c r="CK32" s="239">
        <f t="shared" si="85"/>
        <v>46439938.404959187</v>
      </c>
      <c r="CL32" s="239">
        <f t="shared" si="85"/>
        <v>52931194.434873343</v>
      </c>
      <c r="CM32" s="239">
        <f t="shared" si="85"/>
        <v>54064945.609583236</v>
      </c>
      <c r="CN32" s="236">
        <f>SUM(BX32,BD32,AJ32,P32)</f>
        <v>0</v>
      </c>
      <c r="CO32" s="239">
        <f t="shared" ref="CO32:CR32" si="86">CO23+CO30</f>
        <v>126235149.06096253</v>
      </c>
      <c r="CP32" s="239">
        <f t="shared" si="86"/>
        <v>121927979.82741965</v>
      </c>
      <c r="CQ32" s="239">
        <f t="shared" si="86"/>
        <v>131935235.58021811</v>
      </c>
      <c r="CR32" s="239">
        <f t="shared" si="86"/>
        <v>138657907.60623115</v>
      </c>
      <c r="CS32" s="236">
        <f>SUM(CC32,BI32,AO32,U32)</f>
        <v>518756272.07483149</v>
      </c>
      <c r="CT32" s="360"/>
      <c r="CU32" s="360"/>
      <c r="CV32" s="360"/>
      <c r="CW32" s="360"/>
      <c r="CX32" s="360"/>
      <c r="CY32" s="361"/>
      <c r="CZ32" s="361"/>
      <c r="DA32" s="361"/>
      <c r="DB32" s="361"/>
      <c r="DC32" s="361"/>
      <c r="DD32" s="361"/>
      <c r="DE32" s="361"/>
      <c r="DF32" s="361"/>
      <c r="DG32" s="361"/>
      <c r="DH32" s="361"/>
      <c r="DI32" s="361"/>
      <c r="DJ32" s="361"/>
      <c r="DK32" s="361"/>
      <c r="DL32" s="361"/>
      <c r="DM32" s="361"/>
      <c r="DN32" s="361"/>
      <c r="DO32" s="361"/>
      <c r="DP32" s="361"/>
      <c r="DQ32" s="361"/>
      <c r="DR32" s="361"/>
      <c r="DS32" s="361"/>
      <c r="DT32" s="361"/>
      <c r="DU32" s="361"/>
      <c r="DV32" s="361"/>
      <c r="DW32" s="361"/>
      <c r="DX32" s="361"/>
      <c r="DY32" s="361"/>
      <c r="DZ32" s="361"/>
      <c r="EA32" s="361"/>
    </row>
    <row r="33" spans="1:102" ht="15.75" customHeight="1" x14ac:dyDescent="0.25">
      <c r="B33" s="213"/>
      <c r="C33" s="198"/>
      <c r="D33" s="198"/>
      <c r="E33" s="198"/>
      <c r="F33" s="198"/>
      <c r="G33" s="198"/>
      <c r="H33" s="198"/>
      <c r="I33" s="198"/>
      <c r="J33" s="198"/>
      <c r="K33" s="429"/>
      <c r="L33" s="430"/>
      <c r="M33" s="198"/>
      <c r="N33" s="198"/>
      <c r="O33" s="198"/>
      <c r="P33" s="198"/>
      <c r="Q33" s="198"/>
      <c r="R33" s="198"/>
      <c r="S33" s="198"/>
      <c r="T33" s="198"/>
      <c r="U33" s="430"/>
      <c r="V33" s="213"/>
      <c r="W33" s="198"/>
      <c r="X33" s="198"/>
      <c r="Y33" s="198"/>
      <c r="Z33" s="198"/>
      <c r="AA33" s="198"/>
      <c r="AB33" s="198"/>
      <c r="AC33" s="198"/>
      <c r="AD33" s="198"/>
      <c r="AE33" s="429"/>
      <c r="AF33" s="430"/>
      <c r="AG33" s="198"/>
      <c r="AH33" s="198"/>
      <c r="AI33" s="198"/>
      <c r="AJ33" s="198"/>
      <c r="AK33" s="198"/>
      <c r="AL33" s="198"/>
      <c r="AM33" s="198"/>
      <c r="AN33" s="198"/>
      <c r="AO33" s="430"/>
      <c r="AP33" s="213"/>
      <c r="AQ33" s="198"/>
      <c r="AR33" s="198"/>
      <c r="AS33" s="198"/>
      <c r="AT33" s="198"/>
      <c r="AU33" s="198"/>
      <c r="AV33" s="198"/>
      <c r="AW33" s="198"/>
      <c r="AX33" s="198"/>
      <c r="AY33" s="429"/>
      <c r="AZ33" s="430"/>
      <c r="BA33" s="198"/>
      <c r="BB33" s="198"/>
      <c r="BC33" s="198"/>
      <c r="BD33" s="198"/>
      <c r="BE33" s="198"/>
      <c r="BF33" s="198"/>
      <c r="BG33" s="198"/>
      <c r="BH33" s="198"/>
      <c r="BI33" s="430"/>
      <c r="BJ33" s="213"/>
      <c r="BK33" s="198"/>
      <c r="BL33" s="198"/>
      <c r="BM33" s="198"/>
      <c r="BN33" s="198"/>
      <c r="BO33" s="198"/>
      <c r="BP33" s="198"/>
      <c r="BQ33" s="198"/>
      <c r="BR33" s="198"/>
      <c r="BS33" s="429"/>
      <c r="BT33" s="430"/>
      <c r="BU33" s="198"/>
      <c r="BV33" s="198"/>
      <c r="BW33" s="198"/>
      <c r="BX33" s="198"/>
      <c r="BY33" s="198"/>
      <c r="BZ33" s="198"/>
      <c r="CA33" s="198"/>
      <c r="CB33" s="198"/>
      <c r="CC33" s="430"/>
      <c r="CD33" s="213"/>
      <c r="CE33" s="198"/>
      <c r="CF33" s="198"/>
      <c r="CG33" s="198"/>
      <c r="CH33" s="198"/>
      <c r="CI33" s="467"/>
      <c r="CJ33" s="198"/>
      <c r="CK33" s="198"/>
      <c r="CL33" s="198"/>
      <c r="CM33" s="198"/>
      <c r="CN33" s="467"/>
      <c r="CO33" s="198"/>
      <c r="CP33" s="198"/>
      <c r="CQ33" s="198"/>
      <c r="CR33" s="198"/>
      <c r="CS33" s="467"/>
      <c r="CT33" s="362"/>
      <c r="CU33" s="362"/>
      <c r="CV33" s="362"/>
      <c r="CW33" s="362"/>
      <c r="CX33" s="362"/>
    </row>
    <row r="34" spans="1:102" ht="15.75" customHeight="1" x14ac:dyDescent="0.25">
      <c r="A34" s="19" t="s">
        <v>327</v>
      </c>
      <c r="B34" s="213"/>
      <c r="C34" s="198"/>
      <c r="D34" s="198"/>
      <c r="E34" s="198"/>
      <c r="F34" s="198"/>
      <c r="G34" s="198"/>
      <c r="H34" s="198"/>
      <c r="I34" s="198"/>
      <c r="J34" s="198"/>
      <c r="K34" s="429"/>
      <c r="L34" s="430"/>
      <c r="M34" s="198"/>
      <c r="N34" s="198"/>
      <c r="O34" s="198"/>
      <c r="P34" s="198"/>
      <c r="Q34" s="198"/>
      <c r="R34" s="198"/>
      <c r="S34" s="198"/>
      <c r="T34" s="198"/>
      <c r="U34" s="430"/>
      <c r="V34" s="213"/>
      <c r="W34" s="198"/>
      <c r="X34" s="198"/>
      <c r="Y34" s="198"/>
      <c r="Z34" s="198"/>
      <c r="AA34" s="198"/>
      <c r="AB34" s="198"/>
      <c r="AC34" s="198"/>
      <c r="AD34" s="198"/>
      <c r="AE34" s="429"/>
      <c r="AF34" s="430"/>
      <c r="AG34" s="198"/>
      <c r="AH34" s="198"/>
      <c r="AI34" s="198"/>
      <c r="AJ34" s="198"/>
      <c r="AK34" s="198"/>
      <c r="AL34" s="198"/>
      <c r="AM34" s="198"/>
      <c r="AN34" s="198"/>
      <c r="AO34" s="430"/>
      <c r="AP34" s="213"/>
      <c r="AQ34" s="198"/>
      <c r="AR34" s="198"/>
      <c r="AS34" s="198"/>
      <c r="AT34" s="198"/>
      <c r="AU34" s="198"/>
      <c r="AV34" s="198"/>
      <c r="AW34" s="198"/>
      <c r="AX34" s="198"/>
      <c r="AY34" s="429"/>
      <c r="AZ34" s="430"/>
      <c r="BA34" s="198"/>
      <c r="BB34" s="198"/>
      <c r="BC34" s="198"/>
      <c r="BD34" s="198"/>
      <c r="BE34" s="198"/>
      <c r="BF34" s="198"/>
      <c r="BG34" s="198"/>
      <c r="BH34" s="198"/>
      <c r="BI34" s="430"/>
      <c r="BJ34" s="213"/>
      <c r="BK34" s="198"/>
      <c r="BL34" s="198"/>
      <c r="BM34" s="198"/>
      <c r="BN34" s="198"/>
      <c r="BO34" s="198"/>
      <c r="BP34" s="198"/>
      <c r="BQ34" s="198"/>
      <c r="BR34" s="198"/>
      <c r="BS34" s="429"/>
      <c r="BT34" s="430"/>
      <c r="BU34" s="198"/>
      <c r="BV34" s="198"/>
      <c r="BW34" s="198"/>
      <c r="BX34" s="198"/>
      <c r="BY34" s="198"/>
      <c r="BZ34" s="198"/>
      <c r="CA34" s="198"/>
      <c r="CB34" s="198"/>
      <c r="CC34" s="430"/>
      <c r="CD34" s="213"/>
      <c r="CE34" s="198"/>
      <c r="CF34" s="198"/>
      <c r="CG34" s="198"/>
      <c r="CH34" s="198"/>
      <c r="CI34" s="467"/>
      <c r="CJ34" s="198"/>
      <c r="CK34" s="198"/>
      <c r="CL34" s="198"/>
      <c r="CM34" s="198"/>
      <c r="CN34" s="467"/>
      <c r="CO34" s="198"/>
      <c r="CP34" s="198"/>
      <c r="CQ34" s="198"/>
      <c r="CR34" s="198"/>
      <c r="CS34" s="467"/>
      <c r="CT34" s="362"/>
      <c r="CV34" s="362"/>
      <c r="CX34" s="362"/>
    </row>
    <row r="35" spans="1:102" ht="15.75" customHeight="1" x14ac:dyDescent="0.25">
      <c r="A35" s="94" t="s">
        <v>281</v>
      </c>
      <c r="B35" s="343">
        <v>13</v>
      </c>
      <c r="C35" s="257">
        <v>56761.639999999941</v>
      </c>
      <c r="D35" s="257">
        <v>66007.999999999927</v>
      </c>
      <c r="E35" s="257">
        <v>311068.12982295558</v>
      </c>
      <c r="F35" s="257">
        <v>168821.39558430391</v>
      </c>
      <c r="G35" s="257">
        <v>328504.62822459021</v>
      </c>
      <c r="H35" s="257">
        <v>134468.02268751033</v>
      </c>
      <c r="I35" s="257">
        <v>375643.85653202696</v>
      </c>
      <c r="J35" s="257">
        <v>102375.35889973976</v>
      </c>
      <c r="K35" s="460">
        <f t="shared" ref="K35:K64" si="87">SUM(C35:J35)</f>
        <v>1543651.0317511267</v>
      </c>
      <c r="L35" s="465">
        <v>0</v>
      </c>
      <c r="M35" s="257">
        <v>764155.88999999966</v>
      </c>
      <c r="N35" s="257">
        <v>0</v>
      </c>
      <c r="O35" s="257">
        <v>2656565.5099231517</v>
      </c>
      <c r="P35" s="257">
        <v>0</v>
      </c>
      <c r="Q35" s="257">
        <v>2327664.0106717544</v>
      </c>
      <c r="R35" s="257">
        <v>0</v>
      </c>
      <c r="S35" s="257">
        <v>2197384.0875273799</v>
      </c>
      <c r="T35" s="462">
        <f t="shared" ref="T35:T64" si="88">SUM(L35:S35)</f>
        <v>7945769.4981222861</v>
      </c>
      <c r="U35" s="463">
        <f t="shared" ref="U35:U64" si="89">SUM(T35,K35)</f>
        <v>9489420.5298734121</v>
      </c>
      <c r="V35" s="343">
        <v>13</v>
      </c>
      <c r="W35" s="257">
        <v>0</v>
      </c>
      <c r="X35" s="257">
        <v>12275.999999999987</v>
      </c>
      <c r="Y35" s="257">
        <v>0</v>
      </c>
      <c r="Z35" s="257">
        <v>6866.4260670753392</v>
      </c>
      <c r="AA35" s="257">
        <v>0</v>
      </c>
      <c r="AB35" s="257">
        <v>16403.574976810251</v>
      </c>
      <c r="AC35" s="257">
        <v>20610.057973781375</v>
      </c>
      <c r="AD35" s="257">
        <v>9845.2568973966099</v>
      </c>
      <c r="AE35" s="460">
        <f t="shared" ref="AE35:AE64" si="90">SUM(W35:AD35)</f>
        <v>66001.315915063562</v>
      </c>
      <c r="AF35" s="465">
        <v>0</v>
      </c>
      <c r="AG35" s="257">
        <v>251712.89999999994</v>
      </c>
      <c r="AH35" s="257">
        <v>0</v>
      </c>
      <c r="AI35" s="257">
        <v>125113.43757499805</v>
      </c>
      <c r="AJ35" s="257">
        <v>0</v>
      </c>
      <c r="AK35" s="257">
        <v>278778.62246070872</v>
      </c>
      <c r="AL35" s="257">
        <v>0</v>
      </c>
      <c r="AM35" s="257">
        <v>262771.89915349073</v>
      </c>
      <c r="AN35" s="462">
        <f t="shared" ref="AN35:AN64" si="91">SUM(AF35:AM35)</f>
        <v>918376.85918919742</v>
      </c>
      <c r="AO35" s="463">
        <f t="shared" ref="AO35:AO64" si="92">SUM(AN35,AE35)</f>
        <v>984378.17510426103</v>
      </c>
      <c r="AP35" s="343">
        <v>13</v>
      </c>
      <c r="AQ35" s="257">
        <v>1700260.4599999976</v>
      </c>
      <c r="AR35" s="257">
        <v>519899.50999999949</v>
      </c>
      <c r="AS35" s="257">
        <v>733940.10914020054</v>
      </c>
      <c r="AT35" s="257">
        <v>457969.85950905003</v>
      </c>
      <c r="AU35" s="257">
        <v>1248257.9542029717</v>
      </c>
      <c r="AV35" s="257">
        <v>396864.15932249068</v>
      </c>
      <c r="AW35" s="257">
        <v>1632092.0126875341</v>
      </c>
      <c r="AX35" s="257">
        <v>352856.56101729005</v>
      </c>
      <c r="AY35" s="460">
        <f t="shared" ref="AY35:AY64" si="93">SUM(AQ35:AX35)</f>
        <v>7042140.6258795336</v>
      </c>
      <c r="AZ35" s="465">
        <v>0</v>
      </c>
      <c r="BA35" s="257">
        <v>7593644.0799999963</v>
      </c>
      <c r="BB35" s="257">
        <v>0</v>
      </c>
      <c r="BC35" s="257">
        <v>6120936.6681558732</v>
      </c>
      <c r="BD35" s="257">
        <v>0</v>
      </c>
      <c r="BE35" s="257">
        <v>6859445.4079971593</v>
      </c>
      <c r="BF35" s="257">
        <v>0</v>
      </c>
      <c r="BG35" s="257">
        <v>6967777.7691761032</v>
      </c>
      <c r="BH35" s="462">
        <f t="shared" ref="BH35:BH64" si="94">SUM(AZ35:BG35)</f>
        <v>27541803.925329134</v>
      </c>
      <c r="BI35" s="463">
        <f t="shared" ref="BI35:BI64" si="95">SUM(BH35,AY35)</f>
        <v>34583944.551208667</v>
      </c>
      <c r="BJ35" s="343">
        <v>13</v>
      </c>
      <c r="BK35" s="257">
        <v>72377.449999999939</v>
      </c>
      <c r="BL35" s="257">
        <v>44451.999999999956</v>
      </c>
      <c r="BM35" s="257">
        <v>48148.691199114575</v>
      </c>
      <c r="BN35" s="257">
        <v>36000.944368093573</v>
      </c>
      <c r="BO35" s="257">
        <v>8274.8568008189213</v>
      </c>
      <c r="BP35" s="257">
        <v>30490.471231560943</v>
      </c>
      <c r="BQ35" s="257">
        <v>59256.532072344526</v>
      </c>
      <c r="BR35" s="257">
        <v>23096.658984381502</v>
      </c>
      <c r="BS35" s="460">
        <f t="shared" ref="BS35:BS64" si="96">SUM(BK35:BR35)</f>
        <v>322097.6046563139</v>
      </c>
      <c r="BT35" s="465">
        <v>0</v>
      </c>
      <c r="BU35" s="257">
        <v>553375.72999999986</v>
      </c>
      <c r="BV35" s="257">
        <v>0</v>
      </c>
      <c r="BW35" s="257">
        <v>593063.26432723098</v>
      </c>
      <c r="BX35" s="257">
        <v>0</v>
      </c>
      <c r="BY35" s="257">
        <v>471353.07048772008</v>
      </c>
      <c r="BZ35" s="257">
        <v>0</v>
      </c>
      <c r="CA35" s="257">
        <v>709616.51992122305</v>
      </c>
      <c r="CB35" s="462">
        <f t="shared" ref="CB35:CB64" si="97">SUM(BT35:CA35)</f>
        <v>2327408.584736174</v>
      </c>
      <c r="CC35" s="463">
        <f t="shared" ref="CC35:CC64" si="98">SUM(CB35,BS35)</f>
        <v>2649506.189392488</v>
      </c>
      <c r="CD35" s="343">
        <v>13</v>
      </c>
      <c r="CE35" s="462">
        <f t="shared" ref="CE35:CE64" si="99">+C35+D35+W35+X35+AQ35+AR35+BK35+BL35</f>
        <v>2472035.0599999968</v>
      </c>
      <c r="CF35" s="462">
        <f t="shared" ref="CF35:CF64" si="100">+E35+F35+Y35+Z35+AS35+AT35+BM35+BN35</f>
        <v>1762815.5556907936</v>
      </c>
      <c r="CG35" s="462">
        <f t="shared" ref="CG35:CG64" si="101">+G35+H35+AA35+AB35+AU35+AV35+BO35+BP35</f>
        <v>2163263.667446753</v>
      </c>
      <c r="CH35" s="462">
        <f t="shared" ref="CH35:CH64" si="102">+I35+J35+AC35+AD35+AW35+AX35+BQ35+BR35</f>
        <v>2575776.2950644949</v>
      </c>
      <c r="CI35" s="464">
        <f t="shared" ref="CI35:CI64" si="103">SUM(K35,AE35,AY35,BS35)</f>
        <v>8973890.578202039</v>
      </c>
      <c r="CJ35" s="462">
        <f t="shared" ref="CJ35:CJ64" si="104">L35+M35+AF35+AG35+AZ35+BA35+BT35+BU35</f>
        <v>9162888.5999999959</v>
      </c>
      <c r="CK35" s="462">
        <f t="shared" ref="CK35:CK64" si="105">N35+O35+AH35+AI35+BB35+BC35+BV35+BW35</f>
        <v>9495678.8799812552</v>
      </c>
      <c r="CL35" s="462">
        <f t="shared" ref="CL35:CL64" si="106">P35+Q35+AJ35+AK35+BD35+BE35+BX35+BY35</f>
        <v>9937241.1116173435</v>
      </c>
      <c r="CM35" s="462">
        <f t="shared" ref="CM35:CM64" si="107">+R35+S35+AL35+AM35+BF35+BG35+BZ35+CA35</f>
        <v>10137550.275778197</v>
      </c>
      <c r="CN35" s="464">
        <f t="shared" ref="CN35:CN64" si="108">SUM(T35,AN35,BH35,CB35)</f>
        <v>38733358.867376797</v>
      </c>
      <c r="CO35" s="462">
        <f t="shared" ref="CO35:CO64" si="109">+C35+D35+L35+M35+W35+X35+AF35+AG35+AQ35+AR35+AZ35+BA35+BK35+BL35+BT35+BU35</f>
        <v>11634923.659999993</v>
      </c>
      <c r="CP35" s="462">
        <f t="shared" ref="CP35:CP64" si="110">+E35+F35+N35+O35+Y35+Z35+AH35+AI35+AS35+AT35+BB35+BC35+BM35+BN35+BV35+BW35</f>
        <v>11258494.435672048</v>
      </c>
      <c r="CQ35" s="462">
        <f t="shared" ref="CQ35:CQ64" si="111">+G35+H35+P35+Q35+AA35+AB35+AJ35+AK35+AU35+AV35+BD35+BE35+BO35+BP35+BX35+BY35</f>
        <v>12100504.779064097</v>
      </c>
      <c r="CR35" s="462">
        <f t="shared" ref="CR35:CR64" si="112">+I35+J35+R35+S35+AC35+AD35+AL35+AM35+AW35+AX35+BF35+BG35+BQ35+BR35+BZ35+CA35</f>
        <v>12713326.570842691</v>
      </c>
      <c r="CS35" s="464">
        <f t="shared" ref="CS35:CS64" si="113">SUM(CC35,BI35,AO35,U35)</f>
        <v>47707249.445578828</v>
      </c>
      <c r="CT35" s="362"/>
      <c r="CV35" s="362"/>
      <c r="CX35" s="362"/>
    </row>
    <row r="36" spans="1:102" ht="15.75" customHeight="1" x14ac:dyDescent="0.25">
      <c r="A36" s="94" t="s">
        <v>282</v>
      </c>
      <c r="B36" s="343">
        <v>14</v>
      </c>
      <c r="C36" s="257">
        <v>0</v>
      </c>
      <c r="D36" s="257">
        <v>7087.9999999999927</v>
      </c>
      <c r="E36" s="257">
        <v>30056.454445375151</v>
      </c>
      <c r="F36" s="257">
        <v>6528.6808452247196</v>
      </c>
      <c r="G36" s="257">
        <v>9654.1614876509484</v>
      </c>
      <c r="H36" s="257">
        <v>6536.8846298102062</v>
      </c>
      <c r="I36" s="257">
        <v>11309.055162488701</v>
      </c>
      <c r="J36" s="257">
        <v>3404.8582279023462</v>
      </c>
      <c r="K36" s="460">
        <f t="shared" si="87"/>
        <v>74578.094798452061</v>
      </c>
      <c r="L36" s="465">
        <v>0</v>
      </c>
      <c r="M36" s="257">
        <v>77957.990000000005</v>
      </c>
      <c r="N36" s="257">
        <v>0</v>
      </c>
      <c r="O36" s="257">
        <v>87635.494129811821</v>
      </c>
      <c r="P36" s="257">
        <v>0</v>
      </c>
      <c r="Q36" s="257">
        <v>103007.46828357174</v>
      </c>
      <c r="R36" s="257">
        <v>0</v>
      </c>
      <c r="S36" s="257">
        <v>146067.16079330389</v>
      </c>
      <c r="T36" s="462">
        <f t="shared" si="88"/>
        <v>414668.11320668738</v>
      </c>
      <c r="U36" s="463">
        <f t="shared" si="89"/>
        <v>489246.20800513943</v>
      </c>
      <c r="V36" s="343">
        <v>14</v>
      </c>
      <c r="W36" s="257">
        <v>0</v>
      </c>
      <c r="X36" s="257">
        <v>2995.9999999999968</v>
      </c>
      <c r="Y36" s="257">
        <v>0</v>
      </c>
      <c r="Z36" s="257">
        <v>3264.3404226123598</v>
      </c>
      <c r="AA36" s="257">
        <v>0</v>
      </c>
      <c r="AB36" s="257">
        <v>0</v>
      </c>
      <c r="AC36" s="257">
        <v>0</v>
      </c>
      <c r="AD36" s="257">
        <v>1640.8761495661015</v>
      </c>
      <c r="AE36" s="460">
        <f t="shared" si="90"/>
        <v>7901.2165721784586</v>
      </c>
      <c r="AF36" s="465">
        <v>0</v>
      </c>
      <c r="AG36" s="257">
        <v>110167.07000000002</v>
      </c>
      <c r="AH36" s="257">
        <v>0</v>
      </c>
      <c r="AI36" s="257">
        <v>56650.696787232206</v>
      </c>
      <c r="AJ36" s="257">
        <v>0</v>
      </c>
      <c r="AK36" s="257">
        <v>0</v>
      </c>
      <c r="AL36" s="257">
        <v>0</v>
      </c>
      <c r="AM36" s="257">
        <v>49791.338630156075</v>
      </c>
      <c r="AN36" s="462">
        <f t="shared" si="91"/>
        <v>216609.10541738829</v>
      </c>
      <c r="AO36" s="463">
        <f t="shared" si="92"/>
        <v>224510.32198956676</v>
      </c>
      <c r="AP36" s="343">
        <v>14</v>
      </c>
      <c r="AQ36" s="257">
        <v>0</v>
      </c>
      <c r="AR36" s="257">
        <v>12543.999999999987</v>
      </c>
      <c r="AS36" s="257">
        <v>0</v>
      </c>
      <c r="AT36" s="257">
        <v>16285.818370916171</v>
      </c>
      <c r="AU36" s="257">
        <v>10676.95161646347</v>
      </c>
      <c r="AV36" s="257">
        <v>6536.8846298102062</v>
      </c>
      <c r="AW36" s="257">
        <v>0</v>
      </c>
      <c r="AX36" s="257">
        <v>4922.628448698305</v>
      </c>
      <c r="AY36" s="460">
        <f t="shared" si="93"/>
        <v>50966.283065888143</v>
      </c>
      <c r="AZ36" s="465">
        <v>0</v>
      </c>
      <c r="BA36" s="257">
        <v>159929.16</v>
      </c>
      <c r="BB36" s="257">
        <v>0</v>
      </c>
      <c r="BC36" s="257">
        <v>220622.2402016772</v>
      </c>
      <c r="BD36" s="257">
        <v>0</v>
      </c>
      <c r="BE36" s="257">
        <v>172289.28612421729</v>
      </c>
      <c r="BF36" s="257">
        <v>0</v>
      </c>
      <c r="BG36" s="257">
        <v>171678.05886694966</v>
      </c>
      <c r="BH36" s="462">
        <f t="shared" si="94"/>
        <v>724518.74519284419</v>
      </c>
      <c r="BI36" s="463">
        <f t="shared" si="95"/>
        <v>775485.02825873229</v>
      </c>
      <c r="BJ36" s="343">
        <v>14</v>
      </c>
      <c r="BK36" s="257">
        <v>0</v>
      </c>
      <c r="BL36" s="257">
        <v>1363.9999999999986</v>
      </c>
      <c r="BM36" s="257">
        <v>0</v>
      </c>
      <c r="BN36" s="257">
        <v>0</v>
      </c>
      <c r="BO36" s="257">
        <v>0</v>
      </c>
      <c r="BP36" s="257">
        <v>0</v>
      </c>
      <c r="BQ36" s="257">
        <v>12085.223766153251</v>
      </c>
      <c r="BR36" s="257">
        <v>0</v>
      </c>
      <c r="BS36" s="460">
        <f t="shared" si="96"/>
        <v>13449.223766153249</v>
      </c>
      <c r="BT36" s="465">
        <v>0</v>
      </c>
      <c r="BU36" s="257">
        <v>12059.9</v>
      </c>
      <c r="BV36" s="257">
        <v>0</v>
      </c>
      <c r="BW36" s="257">
        <v>0</v>
      </c>
      <c r="BX36" s="257">
        <v>0</v>
      </c>
      <c r="BY36" s="257">
        <v>4763.3924163413449</v>
      </c>
      <c r="BZ36" s="257">
        <v>0</v>
      </c>
      <c r="CA36" s="257">
        <v>0</v>
      </c>
      <c r="CB36" s="462">
        <f t="shared" si="97"/>
        <v>16823.292416341345</v>
      </c>
      <c r="CC36" s="463">
        <f t="shared" si="98"/>
        <v>30272.516182494594</v>
      </c>
      <c r="CD36" s="343">
        <v>14</v>
      </c>
      <c r="CE36" s="462">
        <f t="shared" si="99"/>
        <v>23991.999999999978</v>
      </c>
      <c r="CF36" s="462">
        <f t="shared" si="100"/>
        <v>56135.2940841284</v>
      </c>
      <c r="CG36" s="462">
        <f t="shared" si="101"/>
        <v>33404.882363734832</v>
      </c>
      <c r="CH36" s="462">
        <f t="shared" si="102"/>
        <v>33362.641754808705</v>
      </c>
      <c r="CI36" s="464">
        <f t="shared" si="103"/>
        <v>146894.81820267192</v>
      </c>
      <c r="CJ36" s="462">
        <f t="shared" si="104"/>
        <v>360114.12000000005</v>
      </c>
      <c r="CK36" s="462">
        <f t="shared" si="105"/>
        <v>364908.43111872126</v>
      </c>
      <c r="CL36" s="462">
        <f t="shared" si="106"/>
        <v>280060.14682413038</v>
      </c>
      <c r="CM36" s="462">
        <f t="shared" si="107"/>
        <v>367536.55829040962</v>
      </c>
      <c r="CN36" s="464">
        <f t="shared" si="108"/>
        <v>1372619.2562332612</v>
      </c>
      <c r="CO36" s="462">
        <f t="shared" si="109"/>
        <v>384106.12</v>
      </c>
      <c r="CP36" s="462">
        <f t="shared" si="110"/>
        <v>421043.7252028496</v>
      </c>
      <c r="CQ36" s="462">
        <f t="shared" si="111"/>
        <v>313465.02918786521</v>
      </c>
      <c r="CR36" s="462">
        <f t="shared" si="112"/>
        <v>400899.20004521828</v>
      </c>
      <c r="CS36" s="464">
        <f t="shared" si="113"/>
        <v>1519514.074435933</v>
      </c>
      <c r="CT36" s="362"/>
      <c r="CV36" s="362"/>
      <c r="CX36" s="362"/>
    </row>
    <row r="37" spans="1:102" ht="15.75" customHeight="1" x14ac:dyDescent="0.25">
      <c r="A37" s="94" t="s">
        <v>283</v>
      </c>
      <c r="B37" s="343">
        <v>15</v>
      </c>
      <c r="C37" s="257">
        <v>158021.87999999983</v>
      </c>
      <c r="D37" s="257">
        <v>217193.27999999889</v>
      </c>
      <c r="E37" s="257">
        <v>406153.83586119214</v>
      </c>
      <c r="F37" s="257">
        <v>354016.6387196703</v>
      </c>
      <c r="G37" s="257">
        <v>465405.34732000763</v>
      </c>
      <c r="H37" s="257">
        <v>327870.48632839444</v>
      </c>
      <c r="I37" s="257">
        <v>389266.44652152207</v>
      </c>
      <c r="J37" s="257">
        <v>298065.39387399843</v>
      </c>
      <c r="K37" s="460">
        <f t="shared" si="87"/>
        <v>2615993.3086247835</v>
      </c>
      <c r="L37" s="465">
        <v>0</v>
      </c>
      <c r="M37" s="257">
        <v>768618.81999999832</v>
      </c>
      <c r="N37" s="257">
        <v>0</v>
      </c>
      <c r="O37" s="257">
        <v>1770566.0719010325</v>
      </c>
      <c r="P37" s="257">
        <v>0</v>
      </c>
      <c r="Q37" s="257">
        <v>1707921.4785948833</v>
      </c>
      <c r="R37" s="257">
        <v>0</v>
      </c>
      <c r="S37" s="257">
        <v>1437123.6024683237</v>
      </c>
      <c r="T37" s="462">
        <f t="shared" si="88"/>
        <v>5684229.9729642374</v>
      </c>
      <c r="U37" s="463">
        <f t="shared" si="89"/>
        <v>8300223.281589021</v>
      </c>
      <c r="V37" s="343">
        <v>15</v>
      </c>
      <c r="W37" s="257">
        <v>11323.329999999987</v>
      </c>
      <c r="X37" s="257">
        <v>60305.269999999939</v>
      </c>
      <c r="Y37" s="257">
        <v>1086.3632916858689</v>
      </c>
      <c r="Z37" s="257">
        <v>40418.765081705984</v>
      </c>
      <c r="AA37" s="257">
        <v>9271.4813666141399</v>
      </c>
      <c r="AB37" s="257">
        <v>37370.992916887713</v>
      </c>
      <c r="AC37" s="257">
        <v>16169.125207984804</v>
      </c>
      <c r="AD37" s="257">
        <v>44742.912148715164</v>
      </c>
      <c r="AE37" s="460">
        <f t="shared" si="90"/>
        <v>220688.24001359357</v>
      </c>
      <c r="AF37" s="465">
        <v>0</v>
      </c>
      <c r="AG37" s="257">
        <v>224515.43000000028</v>
      </c>
      <c r="AH37" s="257">
        <v>0</v>
      </c>
      <c r="AI37" s="257">
        <v>217230.63467936564</v>
      </c>
      <c r="AJ37" s="257">
        <v>0</v>
      </c>
      <c r="AK37" s="257">
        <v>209143.60855327657</v>
      </c>
      <c r="AL37" s="257">
        <v>0</v>
      </c>
      <c r="AM37" s="257">
        <v>277495.02157510095</v>
      </c>
      <c r="AN37" s="462">
        <f t="shared" si="91"/>
        <v>928384.69480774342</v>
      </c>
      <c r="AO37" s="463">
        <f t="shared" si="92"/>
        <v>1149072.934821337</v>
      </c>
      <c r="AP37" s="343">
        <v>15</v>
      </c>
      <c r="AQ37" s="257">
        <v>1126863.3800000011</v>
      </c>
      <c r="AR37" s="257">
        <v>1161249.8799999943</v>
      </c>
      <c r="AS37" s="257">
        <v>1406504.9277418444</v>
      </c>
      <c r="AT37" s="257">
        <v>1033178.505296223</v>
      </c>
      <c r="AU37" s="257">
        <v>1277103.4296326838</v>
      </c>
      <c r="AV37" s="257">
        <v>1007467.5130252077</v>
      </c>
      <c r="AW37" s="257">
        <v>1404503.7374868519</v>
      </c>
      <c r="AX37" s="257">
        <v>955433.34772899258</v>
      </c>
      <c r="AY37" s="460">
        <f t="shared" si="93"/>
        <v>9372304.7209117971</v>
      </c>
      <c r="AZ37" s="465">
        <v>0</v>
      </c>
      <c r="BA37" s="257">
        <v>5069703.0200000145</v>
      </c>
      <c r="BB37" s="257">
        <v>0</v>
      </c>
      <c r="BC37" s="257">
        <v>5184374.2249141252</v>
      </c>
      <c r="BD37" s="257">
        <v>0</v>
      </c>
      <c r="BE37" s="257">
        <v>5718836.61579441</v>
      </c>
      <c r="BF37" s="257">
        <v>0</v>
      </c>
      <c r="BG37" s="257">
        <v>6229159.4316167133</v>
      </c>
      <c r="BH37" s="462">
        <f t="shared" si="94"/>
        <v>22202073.292325262</v>
      </c>
      <c r="BI37" s="463">
        <f t="shared" si="95"/>
        <v>31574378.013237059</v>
      </c>
      <c r="BJ37" s="343">
        <v>15</v>
      </c>
      <c r="BK37" s="257">
        <v>33433.759999999958</v>
      </c>
      <c r="BL37" s="257">
        <v>23054.560000000001</v>
      </c>
      <c r="BM37" s="257">
        <v>6020.1378116787155</v>
      </c>
      <c r="BN37" s="257">
        <v>169895.89763903743</v>
      </c>
      <c r="BO37" s="257">
        <v>39047.751889762163</v>
      </c>
      <c r="BP37" s="257">
        <v>152575.44345233543</v>
      </c>
      <c r="BQ37" s="257">
        <v>65449.220780460964</v>
      </c>
      <c r="BR37" s="257">
        <v>123353.9504175542</v>
      </c>
      <c r="BS37" s="460">
        <f t="shared" si="96"/>
        <v>612830.72199082887</v>
      </c>
      <c r="BT37" s="465">
        <v>0</v>
      </c>
      <c r="BU37" s="257">
        <v>111021.75999999989</v>
      </c>
      <c r="BV37" s="257">
        <v>0</v>
      </c>
      <c r="BW37" s="257">
        <v>93558.946642652343</v>
      </c>
      <c r="BX37" s="257">
        <v>0</v>
      </c>
      <c r="BY37" s="257">
        <v>160825.710557132</v>
      </c>
      <c r="BZ37" s="257">
        <v>0</v>
      </c>
      <c r="CA37" s="257">
        <v>85406.301662391896</v>
      </c>
      <c r="CB37" s="462">
        <f t="shared" si="97"/>
        <v>450812.71886217606</v>
      </c>
      <c r="CC37" s="463">
        <f t="shared" si="98"/>
        <v>1063643.4408530048</v>
      </c>
      <c r="CD37" s="343">
        <v>15</v>
      </c>
      <c r="CE37" s="462">
        <f t="shared" si="99"/>
        <v>2791445.3399999938</v>
      </c>
      <c r="CF37" s="462">
        <f t="shared" si="100"/>
        <v>3417275.0714430381</v>
      </c>
      <c r="CG37" s="462">
        <f t="shared" si="101"/>
        <v>3316112.4459318928</v>
      </c>
      <c r="CH37" s="462">
        <f t="shared" si="102"/>
        <v>3296984.1341660796</v>
      </c>
      <c r="CI37" s="464">
        <f t="shared" si="103"/>
        <v>12821816.991541004</v>
      </c>
      <c r="CJ37" s="462">
        <f t="shared" si="104"/>
        <v>6173859.0300000124</v>
      </c>
      <c r="CK37" s="462">
        <f t="shared" si="105"/>
        <v>7265729.878137175</v>
      </c>
      <c r="CL37" s="462">
        <f t="shared" si="106"/>
        <v>7796727.4134997018</v>
      </c>
      <c r="CM37" s="462">
        <f t="shared" si="107"/>
        <v>8029184.3573225299</v>
      </c>
      <c r="CN37" s="464">
        <f t="shared" si="108"/>
        <v>29265500.678959418</v>
      </c>
      <c r="CO37" s="462">
        <f t="shared" si="109"/>
        <v>8965304.3700000066</v>
      </c>
      <c r="CP37" s="462">
        <f t="shared" si="110"/>
        <v>10683004.949580213</v>
      </c>
      <c r="CQ37" s="462">
        <f t="shared" si="111"/>
        <v>11112839.859431593</v>
      </c>
      <c r="CR37" s="462">
        <f t="shared" si="112"/>
        <v>11326168.491488608</v>
      </c>
      <c r="CS37" s="464">
        <f t="shared" si="113"/>
        <v>42087317.67050042</v>
      </c>
    </row>
    <row r="38" spans="1:102" ht="15.75" customHeight="1" x14ac:dyDescent="0.25">
      <c r="A38" s="94" t="s">
        <v>284</v>
      </c>
      <c r="B38" s="343">
        <v>16</v>
      </c>
      <c r="C38" s="257">
        <v>6832.9499999999935</v>
      </c>
      <c r="D38" s="257">
        <v>13951.23999999998</v>
      </c>
      <c r="E38" s="257">
        <v>17432.637967303912</v>
      </c>
      <c r="F38" s="257">
        <v>34440.891677582302</v>
      </c>
      <c r="G38" s="257">
        <v>15561.840931011824</v>
      </c>
      <c r="H38" s="257">
        <v>54253.308575785268</v>
      </c>
      <c r="I38" s="257">
        <v>9909.7155799632001</v>
      </c>
      <c r="J38" s="257">
        <v>35894.366859521921</v>
      </c>
      <c r="K38" s="460">
        <f t="shared" si="87"/>
        <v>188276.95159116841</v>
      </c>
      <c r="L38" s="465">
        <v>0</v>
      </c>
      <c r="M38" s="257">
        <v>27575.000000000004</v>
      </c>
      <c r="N38" s="257">
        <v>0</v>
      </c>
      <c r="O38" s="257">
        <v>88300.995502523685</v>
      </c>
      <c r="P38" s="257">
        <v>0</v>
      </c>
      <c r="Q38" s="257">
        <v>87150.126423656795</v>
      </c>
      <c r="R38" s="257">
        <v>0</v>
      </c>
      <c r="S38" s="257">
        <v>91643.411111533642</v>
      </c>
      <c r="T38" s="462">
        <f t="shared" si="88"/>
        <v>294669.53303771414</v>
      </c>
      <c r="U38" s="463">
        <f t="shared" si="89"/>
        <v>482946.48462888255</v>
      </c>
      <c r="V38" s="343">
        <v>16</v>
      </c>
      <c r="W38" s="257">
        <v>14928.639999999979</v>
      </c>
      <c r="X38" s="257">
        <v>26079.789999999979</v>
      </c>
      <c r="Y38" s="257">
        <v>5044.12602802932</v>
      </c>
      <c r="Z38" s="257">
        <v>12842.099241747517</v>
      </c>
      <c r="AA38" s="257">
        <v>1930.6240144414944</v>
      </c>
      <c r="AB38" s="257">
        <v>14694.802492658966</v>
      </c>
      <c r="AC38" s="257">
        <v>5096.026427101594</v>
      </c>
      <c r="AD38" s="257">
        <v>19550.456167566157</v>
      </c>
      <c r="AE38" s="460">
        <f t="shared" si="90"/>
        <v>100166.564371545</v>
      </c>
      <c r="AF38" s="465">
        <v>0</v>
      </c>
      <c r="AG38" s="257">
        <v>61203.680000000015</v>
      </c>
      <c r="AH38" s="257">
        <v>0</v>
      </c>
      <c r="AI38" s="257">
        <v>50250.796922669542</v>
      </c>
      <c r="AJ38" s="257">
        <v>0</v>
      </c>
      <c r="AK38" s="257">
        <v>50644.225514985723</v>
      </c>
      <c r="AL38" s="257">
        <v>0</v>
      </c>
      <c r="AM38" s="257">
        <v>75433.502432513109</v>
      </c>
      <c r="AN38" s="462">
        <f t="shared" si="91"/>
        <v>237532.20487016841</v>
      </c>
      <c r="AO38" s="463">
        <f t="shared" si="92"/>
        <v>337698.76924171339</v>
      </c>
      <c r="AP38" s="343">
        <v>16</v>
      </c>
      <c r="AQ38" s="257">
        <v>23124.289999999964</v>
      </c>
      <c r="AR38" s="257">
        <v>101246.20000000003</v>
      </c>
      <c r="AS38" s="257">
        <v>21116.432132761805</v>
      </c>
      <c r="AT38" s="257">
        <v>83245.101237604162</v>
      </c>
      <c r="AU38" s="257">
        <v>26213.347964380395</v>
      </c>
      <c r="AV38" s="257">
        <v>82525.725130505773</v>
      </c>
      <c r="AW38" s="257">
        <v>31766.708720368588</v>
      </c>
      <c r="AX38" s="257">
        <v>82933.640940246929</v>
      </c>
      <c r="AY38" s="460">
        <f t="shared" si="93"/>
        <v>452171.4461258676</v>
      </c>
      <c r="AZ38" s="465">
        <v>0</v>
      </c>
      <c r="BA38" s="257">
        <v>257207.04999999961</v>
      </c>
      <c r="BB38" s="257">
        <v>0</v>
      </c>
      <c r="BC38" s="257">
        <v>246888.9019740643</v>
      </c>
      <c r="BD38" s="257">
        <v>0</v>
      </c>
      <c r="BE38" s="257">
        <v>267152.20075752551</v>
      </c>
      <c r="BF38" s="257">
        <v>0</v>
      </c>
      <c r="BG38" s="257">
        <v>293046.92786481418</v>
      </c>
      <c r="BH38" s="462">
        <f t="shared" si="94"/>
        <v>1064295.0805964037</v>
      </c>
      <c r="BI38" s="463">
        <f t="shared" si="95"/>
        <v>1516466.5267222712</v>
      </c>
      <c r="BJ38" s="343">
        <v>16</v>
      </c>
      <c r="BK38" s="257">
        <v>2097.5899999999979</v>
      </c>
      <c r="BL38" s="257">
        <v>11911.259999999987</v>
      </c>
      <c r="BM38" s="257">
        <v>1439.6001290837503</v>
      </c>
      <c r="BN38" s="257">
        <v>11420.510991037308</v>
      </c>
      <c r="BO38" s="257">
        <v>1895.34606629379</v>
      </c>
      <c r="BP38" s="257">
        <v>7823.0026616713167</v>
      </c>
      <c r="BQ38" s="257">
        <v>2265.8870814624097</v>
      </c>
      <c r="BR38" s="257">
        <v>7259.4391843214953</v>
      </c>
      <c r="BS38" s="460">
        <f t="shared" si="96"/>
        <v>46112.636113870059</v>
      </c>
      <c r="BT38" s="465">
        <v>0</v>
      </c>
      <c r="BU38" s="257">
        <v>24580.560000000005</v>
      </c>
      <c r="BV38" s="257">
        <v>0</v>
      </c>
      <c r="BW38" s="257">
        <v>29090.815056721673</v>
      </c>
      <c r="BX38" s="257">
        <v>0</v>
      </c>
      <c r="BY38" s="257">
        <v>31844.559406321809</v>
      </c>
      <c r="BZ38" s="257">
        <v>0</v>
      </c>
      <c r="CA38" s="257">
        <v>31802.147758771491</v>
      </c>
      <c r="CB38" s="462">
        <f t="shared" si="97"/>
        <v>117318.08222181498</v>
      </c>
      <c r="CC38" s="463">
        <f t="shared" si="98"/>
        <v>163430.71833568503</v>
      </c>
      <c r="CD38" s="343">
        <v>16</v>
      </c>
      <c r="CE38" s="462">
        <f t="shared" si="99"/>
        <v>200171.9599999999</v>
      </c>
      <c r="CF38" s="462">
        <f t="shared" si="100"/>
        <v>186981.39940515006</v>
      </c>
      <c r="CG38" s="462">
        <f t="shared" si="101"/>
        <v>204897.99783674884</v>
      </c>
      <c r="CH38" s="462">
        <f t="shared" si="102"/>
        <v>194676.2409605523</v>
      </c>
      <c r="CI38" s="464">
        <f t="shared" si="103"/>
        <v>786727.59820245102</v>
      </c>
      <c r="CJ38" s="462">
        <f t="shared" si="104"/>
        <v>370566.28999999963</v>
      </c>
      <c r="CK38" s="462">
        <f t="shared" si="105"/>
        <v>414531.50945597922</v>
      </c>
      <c r="CL38" s="462">
        <f t="shared" si="106"/>
        <v>436791.1121024898</v>
      </c>
      <c r="CM38" s="462">
        <f t="shared" si="107"/>
        <v>491925.98916763242</v>
      </c>
      <c r="CN38" s="464">
        <f t="shared" si="108"/>
        <v>1713814.9007261011</v>
      </c>
      <c r="CO38" s="462">
        <f t="shared" si="109"/>
        <v>570738.24999999953</v>
      </c>
      <c r="CP38" s="462">
        <f t="shared" si="110"/>
        <v>601512.90886112931</v>
      </c>
      <c r="CQ38" s="462">
        <f t="shared" si="111"/>
        <v>641689.10993923876</v>
      </c>
      <c r="CR38" s="462">
        <f t="shared" si="112"/>
        <v>686602.23012818466</v>
      </c>
      <c r="CS38" s="464">
        <f t="shared" si="113"/>
        <v>2500542.4989285525</v>
      </c>
    </row>
    <row r="39" spans="1:102" ht="15.75" customHeight="1" x14ac:dyDescent="0.25">
      <c r="A39" s="94" t="s">
        <v>234</v>
      </c>
      <c r="B39" s="343">
        <v>17</v>
      </c>
      <c r="C39" s="257">
        <v>168524.25999999989</v>
      </c>
      <c r="D39" s="257">
        <v>254596.51999999984</v>
      </c>
      <c r="E39" s="257">
        <v>327849.98992371635</v>
      </c>
      <c r="F39" s="257">
        <v>360734.04924662045</v>
      </c>
      <c r="G39" s="257">
        <v>338300.00164093223</v>
      </c>
      <c r="H39" s="257">
        <v>367399.88284715347</v>
      </c>
      <c r="I39" s="257">
        <v>277238.30187715002</v>
      </c>
      <c r="J39" s="257">
        <v>322175.39442461834</v>
      </c>
      <c r="K39" s="460">
        <f t="shared" si="87"/>
        <v>2416818.3999601905</v>
      </c>
      <c r="L39" s="465">
        <v>0</v>
      </c>
      <c r="M39" s="257">
        <v>522375.37000000133</v>
      </c>
      <c r="N39" s="257">
        <v>0</v>
      </c>
      <c r="O39" s="257">
        <v>1140556.1245388233</v>
      </c>
      <c r="P39" s="257">
        <v>0</v>
      </c>
      <c r="Q39" s="257">
        <v>1048673.0155508644</v>
      </c>
      <c r="R39" s="257">
        <v>0</v>
      </c>
      <c r="S39" s="257">
        <v>977688.4643772213</v>
      </c>
      <c r="T39" s="462">
        <f t="shared" si="88"/>
        <v>3689292.9744669101</v>
      </c>
      <c r="U39" s="463">
        <f t="shared" si="89"/>
        <v>6106111.3744271006</v>
      </c>
      <c r="V39" s="343">
        <v>17</v>
      </c>
      <c r="W39" s="257">
        <v>15941.989999999982</v>
      </c>
      <c r="X39" s="257">
        <v>63053.659999999894</v>
      </c>
      <c r="Y39" s="257">
        <v>3789.2251603573486</v>
      </c>
      <c r="Z39" s="257">
        <v>43981.956670091953</v>
      </c>
      <c r="AA39" s="257">
        <v>9408.0269530297264</v>
      </c>
      <c r="AB39" s="257">
        <v>37428.160616568384</v>
      </c>
      <c r="AC39" s="257">
        <v>17549.834009228765</v>
      </c>
      <c r="AD39" s="257">
        <v>38968.294955152072</v>
      </c>
      <c r="AE39" s="460">
        <f t="shared" si="90"/>
        <v>230121.14836442814</v>
      </c>
      <c r="AF39" s="465">
        <v>0</v>
      </c>
      <c r="AG39" s="257">
        <v>173532.94999999995</v>
      </c>
      <c r="AH39" s="257">
        <v>0</v>
      </c>
      <c r="AI39" s="257">
        <v>149843.06233996304</v>
      </c>
      <c r="AJ39" s="257">
        <v>0</v>
      </c>
      <c r="AK39" s="257">
        <v>148720.69073027914</v>
      </c>
      <c r="AL39" s="257">
        <v>0</v>
      </c>
      <c r="AM39" s="257">
        <v>169349.37730681471</v>
      </c>
      <c r="AN39" s="462">
        <f t="shared" si="91"/>
        <v>641446.08037705685</v>
      </c>
      <c r="AO39" s="463">
        <f t="shared" si="92"/>
        <v>871567.22874148493</v>
      </c>
      <c r="AP39" s="343">
        <v>17</v>
      </c>
      <c r="AQ39" s="257">
        <v>1026768.0099999979</v>
      </c>
      <c r="AR39" s="257">
        <v>1163266.2499999993</v>
      </c>
      <c r="AS39" s="257">
        <v>877438.53391173354</v>
      </c>
      <c r="AT39" s="257">
        <v>862977.35582391883</v>
      </c>
      <c r="AU39" s="257">
        <v>976943.63639057602</v>
      </c>
      <c r="AV39" s="257">
        <v>1020970.6658830617</v>
      </c>
      <c r="AW39" s="257">
        <v>1116676.7270877473</v>
      </c>
      <c r="AX39" s="257">
        <v>1019270.0155713652</v>
      </c>
      <c r="AY39" s="460">
        <f t="shared" si="93"/>
        <v>8064311.1946683992</v>
      </c>
      <c r="AZ39" s="465">
        <v>0</v>
      </c>
      <c r="BA39" s="257">
        <v>3035988.7600000002</v>
      </c>
      <c r="BB39" s="257">
        <v>0</v>
      </c>
      <c r="BC39" s="257">
        <v>3035863.8798049469</v>
      </c>
      <c r="BD39" s="257">
        <v>0</v>
      </c>
      <c r="BE39" s="257">
        <v>3384267.7082797824</v>
      </c>
      <c r="BF39" s="257">
        <v>0</v>
      </c>
      <c r="BG39" s="257">
        <v>3722880.3730553119</v>
      </c>
      <c r="BH39" s="462">
        <f t="shared" si="94"/>
        <v>13179000.721140042</v>
      </c>
      <c r="BI39" s="463">
        <f t="shared" si="95"/>
        <v>21243311.915808439</v>
      </c>
      <c r="BJ39" s="343">
        <v>17</v>
      </c>
      <c r="BK39" s="257">
        <v>28544.389999999978</v>
      </c>
      <c r="BL39" s="257">
        <v>66682.859999999841</v>
      </c>
      <c r="BM39" s="257">
        <v>26482.151698259033</v>
      </c>
      <c r="BN39" s="257">
        <v>44058.564659176533</v>
      </c>
      <c r="BO39" s="257">
        <v>17714.156257982984</v>
      </c>
      <c r="BP39" s="257">
        <v>38631.916705904732</v>
      </c>
      <c r="BQ39" s="257">
        <v>29076.435968581205</v>
      </c>
      <c r="BR39" s="257">
        <v>42211.549001976156</v>
      </c>
      <c r="BS39" s="460">
        <f t="shared" si="96"/>
        <v>293402.02429188049</v>
      </c>
      <c r="BT39" s="465">
        <v>0</v>
      </c>
      <c r="BU39" s="257">
        <v>182538.84999999986</v>
      </c>
      <c r="BV39" s="257">
        <v>0</v>
      </c>
      <c r="BW39" s="257">
        <v>194387.32757762301</v>
      </c>
      <c r="BX39" s="257">
        <v>0</v>
      </c>
      <c r="BY39" s="257">
        <v>191172.78765052877</v>
      </c>
      <c r="BZ39" s="257">
        <v>0</v>
      </c>
      <c r="CA39" s="257">
        <v>241083.54897536658</v>
      </c>
      <c r="CB39" s="462">
        <f t="shared" si="97"/>
        <v>809182.51420351816</v>
      </c>
      <c r="CC39" s="463">
        <f t="shared" si="98"/>
        <v>1102584.5384953986</v>
      </c>
      <c r="CD39" s="343">
        <v>17</v>
      </c>
      <c r="CE39" s="462">
        <f t="shared" si="99"/>
        <v>2787377.9399999967</v>
      </c>
      <c r="CF39" s="462">
        <f t="shared" si="100"/>
        <v>2547311.8270938741</v>
      </c>
      <c r="CG39" s="462">
        <f t="shared" si="101"/>
        <v>2806796.4472952089</v>
      </c>
      <c r="CH39" s="462">
        <f t="shared" si="102"/>
        <v>2863166.5528958193</v>
      </c>
      <c r="CI39" s="464">
        <f t="shared" si="103"/>
        <v>11004652.767284898</v>
      </c>
      <c r="CJ39" s="462">
        <f t="shared" si="104"/>
        <v>3914435.9300000016</v>
      </c>
      <c r="CK39" s="462">
        <f t="shared" si="105"/>
        <v>4520650.3942613564</v>
      </c>
      <c r="CL39" s="462">
        <f t="shared" si="106"/>
        <v>4772834.2022114545</v>
      </c>
      <c r="CM39" s="462">
        <f t="shared" si="107"/>
        <v>5111001.763714714</v>
      </c>
      <c r="CN39" s="464">
        <f t="shared" si="108"/>
        <v>18318922.290187526</v>
      </c>
      <c r="CO39" s="462">
        <f t="shared" si="109"/>
        <v>6701813.8699999964</v>
      </c>
      <c r="CP39" s="462">
        <f t="shared" si="110"/>
        <v>7067962.2213552287</v>
      </c>
      <c r="CQ39" s="462">
        <f t="shared" si="111"/>
        <v>7579630.649506663</v>
      </c>
      <c r="CR39" s="462">
        <f t="shared" si="112"/>
        <v>7974168.3166105337</v>
      </c>
      <c r="CS39" s="464">
        <f t="shared" si="113"/>
        <v>29323575.057472423</v>
      </c>
    </row>
    <row r="40" spans="1:102" ht="15.75" customHeight="1" x14ac:dyDescent="0.25">
      <c r="A40" s="94" t="s">
        <v>236</v>
      </c>
      <c r="B40" s="343">
        <v>18</v>
      </c>
      <c r="C40" s="257">
        <v>12418.429999999988</v>
      </c>
      <c r="D40" s="257">
        <v>47725.929999999928</v>
      </c>
      <c r="E40" s="257">
        <v>22926.77092442596</v>
      </c>
      <c r="F40" s="257">
        <v>69719.950763676563</v>
      </c>
      <c r="G40" s="257">
        <v>20935.764918761834</v>
      </c>
      <c r="H40" s="257">
        <v>69822.289210750896</v>
      </c>
      <c r="I40" s="257">
        <v>21383.602382133195</v>
      </c>
      <c r="J40" s="257">
        <v>62367.369826951777</v>
      </c>
      <c r="K40" s="460">
        <f t="shared" si="87"/>
        <v>327300.10802670015</v>
      </c>
      <c r="L40" s="465">
        <v>0</v>
      </c>
      <c r="M40" s="257">
        <v>0</v>
      </c>
      <c r="N40" s="257">
        <v>0</v>
      </c>
      <c r="O40" s="257">
        <v>0</v>
      </c>
      <c r="P40" s="257">
        <v>0</v>
      </c>
      <c r="Q40" s="257">
        <v>0</v>
      </c>
      <c r="R40" s="257">
        <v>0</v>
      </c>
      <c r="S40" s="257">
        <v>0</v>
      </c>
      <c r="T40" s="462">
        <f t="shared" si="88"/>
        <v>0</v>
      </c>
      <c r="U40" s="463">
        <f t="shared" si="89"/>
        <v>327300.10802670015</v>
      </c>
      <c r="V40" s="343">
        <v>18</v>
      </c>
      <c r="W40" s="257">
        <v>661.96999999999935</v>
      </c>
      <c r="X40" s="257">
        <v>6316.9799999999932</v>
      </c>
      <c r="Y40" s="257">
        <v>787.26209983823458</v>
      </c>
      <c r="Z40" s="257">
        <v>10983.835452212174</v>
      </c>
      <c r="AA40" s="257">
        <v>866.06711817961832</v>
      </c>
      <c r="AB40" s="257">
        <v>7504.5398217787688</v>
      </c>
      <c r="AC40" s="257">
        <v>1361.102744309813</v>
      </c>
      <c r="AD40" s="257">
        <v>9691.0929635651319</v>
      </c>
      <c r="AE40" s="460">
        <f t="shared" si="90"/>
        <v>38172.850199883731</v>
      </c>
      <c r="AF40" s="465">
        <v>0</v>
      </c>
      <c r="AG40" s="257">
        <v>0</v>
      </c>
      <c r="AH40" s="257">
        <v>0</v>
      </c>
      <c r="AI40" s="257">
        <v>0</v>
      </c>
      <c r="AJ40" s="257">
        <v>0</v>
      </c>
      <c r="AK40" s="257">
        <v>0</v>
      </c>
      <c r="AL40" s="257">
        <v>0</v>
      </c>
      <c r="AM40" s="257">
        <v>0</v>
      </c>
      <c r="AN40" s="462">
        <f t="shared" si="91"/>
        <v>0</v>
      </c>
      <c r="AO40" s="463">
        <f t="shared" si="92"/>
        <v>38172.850199883731</v>
      </c>
      <c r="AP40" s="343">
        <v>18</v>
      </c>
      <c r="AQ40" s="257">
        <v>49380.709999999955</v>
      </c>
      <c r="AR40" s="257">
        <v>142878.59999999983</v>
      </c>
      <c r="AS40" s="257">
        <v>52837.01012170493</v>
      </c>
      <c r="AT40" s="257">
        <v>155077.53230185277</v>
      </c>
      <c r="AU40" s="257">
        <v>62535.835801889771</v>
      </c>
      <c r="AV40" s="257">
        <v>176232.60716987716</v>
      </c>
      <c r="AW40" s="257">
        <v>78127.48252412556</v>
      </c>
      <c r="AX40" s="257">
        <v>198142.5415545697</v>
      </c>
      <c r="AY40" s="460">
        <f t="shared" si="93"/>
        <v>915212.31947401981</v>
      </c>
      <c r="AZ40" s="465">
        <v>0</v>
      </c>
      <c r="BA40" s="257">
        <v>0</v>
      </c>
      <c r="BB40" s="257">
        <v>0</v>
      </c>
      <c r="BC40" s="257">
        <v>0</v>
      </c>
      <c r="BD40" s="257">
        <v>0</v>
      </c>
      <c r="BE40" s="257">
        <v>0</v>
      </c>
      <c r="BF40" s="257">
        <v>0</v>
      </c>
      <c r="BG40" s="257">
        <v>0</v>
      </c>
      <c r="BH40" s="462">
        <f t="shared" si="94"/>
        <v>0</v>
      </c>
      <c r="BI40" s="463">
        <f t="shared" si="95"/>
        <v>915212.31947401981</v>
      </c>
      <c r="BJ40" s="343">
        <v>18</v>
      </c>
      <c r="BK40" s="257">
        <v>499.00999999999948</v>
      </c>
      <c r="BL40" s="257">
        <v>5042.4399999999969</v>
      </c>
      <c r="BM40" s="257">
        <v>358.08734323417752</v>
      </c>
      <c r="BN40" s="257">
        <v>5585.3024647584834</v>
      </c>
      <c r="BO40" s="257">
        <v>553.26196795594922</v>
      </c>
      <c r="BP40" s="257">
        <v>6445.64061518577</v>
      </c>
      <c r="BQ40" s="257">
        <v>586.62327785805269</v>
      </c>
      <c r="BR40" s="257">
        <v>5571.5788788306236</v>
      </c>
      <c r="BS40" s="460">
        <f t="shared" si="96"/>
        <v>24641.944547823052</v>
      </c>
      <c r="BT40" s="465">
        <v>0</v>
      </c>
      <c r="BU40" s="257">
        <v>0</v>
      </c>
      <c r="BV40" s="257">
        <v>0</v>
      </c>
      <c r="BW40" s="257">
        <v>0</v>
      </c>
      <c r="BX40" s="257">
        <v>0</v>
      </c>
      <c r="BY40" s="257">
        <v>0</v>
      </c>
      <c r="BZ40" s="257">
        <v>0</v>
      </c>
      <c r="CA40" s="257">
        <v>0</v>
      </c>
      <c r="CB40" s="462">
        <f t="shared" si="97"/>
        <v>0</v>
      </c>
      <c r="CC40" s="463">
        <f t="shared" si="98"/>
        <v>24641.944547823052</v>
      </c>
      <c r="CD40" s="343">
        <v>18</v>
      </c>
      <c r="CE40" s="462">
        <f t="shared" si="99"/>
        <v>264924.06999999972</v>
      </c>
      <c r="CF40" s="462">
        <f t="shared" si="100"/>
        <v>318275.75147170329</v>
      </c>
      <c r="CG40" s="462">
        <f t="shared" si="101"/>
        <v>344896.00662437984</v>
      </c>
      <c r="CH40" s="462">
        <f t="shared" si="102"/>
        <v>377231.39415234386</v>
      </c>
      <c r="CI40" s="464">
        <f t="shared" si="103"/>
        <v>1305327.2222484269</v>
      </c>
      <c r="CJ40" s="462">
        <f t="shared" si="104"/>
        <v>0</v>
      </c>
      <c r="CK40" s="462">
        <f t="shared" si="105"/>
        <v>0</v>
      </c>
      <c r="CL40" s="462">
        <f t="shared" si="106"/>
        <v>0</v>
      </c>
      <c r="CM40" s="462">
        <f t="shared" si="107"/>
        <v>0</v>
      </c>
      <c r="CN40" s="464">
        <f t="shared" si="108"/>
        <v>0</v>
      </c>
      <c r="CO40" s="462">
        <f t="shared" si="109"/>
        <v>264924.06999999972</v>
      </c>
      <c r="CP40" s="462">
        <f t="shared" si="110"/>
        <v>318275.75147170329</v>
      </c>
      <c r="CQ40" s="462">
        <f t="shared" si="111"/>
        <v>344896.00662437984</v>
      </c>
      <c r="CR40" s="462">
        <f t="shared" si="112"/>
        <v>377231.39415234386</v>
      </c>
      <c r="CS40" s="464">
        <f t="shared" si="113"/>
        <v>1305327.2222484266</v>
      </c>
    </row>
    <row r="41" spans="1:102" ht="15.75" customHeight="1" x14ac:dyDescent="0.25">
      <c r="A41" s="94" t="s">
        <v>201</v>
      </c>
      <c r="B41" s="343">
        <v>19</v>
      </c>
      <c r="C41" s="257">
        <v>270209.91000000003</v>
      </c>
      <c r="D41" s="257">
        <v>802626.55</v>
      </c>
      <c r="E41" s="257">
        <v>300751</v>
      </c>
      <c r="F41" s="257">
        <v>1035456.4031706027</v>
      </c>
      <c r="G41" s="257">
        <v>224288.63</v>
      </c>
      <c r="H41" s="257">
        <v>933809.95278657053</v>
      </c>
      <c r="I41" s="257">
        <v>291462</v>
      </c>
      <c r="J41" s="257">
        <v>1111598.8044475599</v>
      </c>
      <c r="K41" s="460">
        <f t="shared" si="87"/>
        <v>4970203.2504047332</v>
      </c>
      <c r="L41" s="465">
        <v>0</v>
      </c>
      <c r="M41" s="257">
        <v>0</v>
      </c>
      <c r="N41" s="257">
        <v>0</v>
      </c>
      <c r="O41" s="257">
        <v>119.21189827830928</v>
      </c>
      <c r="P41" s="257">
        <v>0</v>
      </c>
      <c r="Q41" s="257">
        <v>94.708544320123849</v>
      </c>
      <c r="R41" s="257">
        <v>0</v>
      </c>
      <c r="S41" s="257">
        <v>97.740702239022568</v>
      </c>
      <c r="T41" s="462">
        <f t="shared" si="88"/>
        <v>311.66114483745571</v>
      </c>
      <c r="U41" s="463">
        <f t="shared" si="89"/>
        <v>4970514.911549571</v>
      </c>
      <c r="V41" s="343">
        <v>19</v>
      </c>
      <c r="W41" s="257">
        <v>23618</v>
      </c>
      <c r="X41" s="257">
        <v>151764.95000000001</v>
      </c>
      <c r="Y41" s="257">
        <v>6322</v>
      </c>
      <c r="Z41" s="257">
        <v>175982.21210782506</v>
      </c>
      <c r="AA41" s="257">
        <v>3037</v>
      </c>
      <c r="AB41" s="257">
        <v>135412.75206389703</v>
      </c>
      <c r="AC41" s="257">
        <v>1589</v>
      </c>
      <c r="AD41" s="257">
        <v>144437.20485312401</v>
      </c>
      <c r="AE41" s="460">
        <f t="shared" si="90"/>
        <v>642163.11902484612</v>
      </c>
      <c r="AF41" s="465">
        <v>0</v>
      </c>
      <c r="AG41" s="257">
        <v>216.56</v>
      </c>
      <c r="AH41" s="257">
        <v>0</v>
      </c>
      <c r="AI41" s="257">
        <v>79.277813501682402</v>
      </c>
      <c r="AJ41" s="257">
        <v>0</v>
      </c>
      <c r="AK41" s="257">
        <v>1509.5791678765092</v>
      </c>
      <c r="AL41" s="257">
        <v>0</v>
      </c>
      <c r="AM41" s="257">
        <v>228.88530560441421</v>
      </c>
      <c r="AN41" s="462">
        <f t="shared" si="91"/>
        <v>2034.3022869826059</v>
      </c>
      <c r="AO41" s="463">
        <f t="shared" si="92"/>
        <v>644197.42131182877</v>
      </c>
      <c r="AP41" s="343">
        <v>19</v>
      </c>
      <c r="AQ41" s="257">
        <v>509443.26</v>
      </c>
      <c r="AR41" s="257">
        <v>1587107.34</v>
      </c>
      <c r="AS41" s="257">
        <v>663372.06888281682</v>
      </c>
      <c r="AT41" s="257">
        <v>1718379.5329620105</v>
      </c>
      <c r="AU41" s="257">
        <v>660263.54746493569</v>
      </c>
      <c r="AV41" s="257">
        <v>1688913.4454750754</v>
      </c>
      <c r="AW41" s="257">
        <v>822043.82</v>
      </c>
      <c r="AX41" s="257">
        <v>2045049.4979097804</v>
      </c>
      <c r="AY41" s="460">
        <f t="shared" si="93"/>
        <v>9694572.5126946196</v>
      </c>
      <c r="AZ41" s="465">
        <v>0</v>
      </c>
      <c r="BA41" s="257">
        <v>519.88000000000011</v>
      </c>
      <c r="BB41" s="257">
        <v>0</v>
      </c>
      <c r="BC41" s="257">
        <v>113.66855501440264</v>
      </c>
      <c r="BD41" s="257">
        <v>0</v>
      </c>
      <c r="BE41" s="257">
        <v>2645.6704467718901</v>
      </c>
      <c r="BF41" s="257">
        <v>0</v>
      </c>
      <c r="BG41" s="257">
        <v>1309.1868326115537</v>
      </c>
      <c r="BH41" s="462">
        <f t="shared" si="94"/>
        <v>4588.4058343978468</v>
      </c>
      <c r="BI41" s="463">
        <f t="shared" si="95"/>
        <v>9699160.9185290169</v>
      </c>
      <c r="BJ41" s="343">
        <v>19</v>
      </c>
      <c r="BK41" s="257">
        <v>53</v>
      </c>
      <c r="BL41" s="257">
        <v>9174.6</v>
      </c>
      <c r="BM41" s="257">
        <v>53</v>
      </c>
      <c r="BN41" s="257">
        <v>4563.2</v>
      </c>
      <c r="BO41" s="257">
        <v>115</v>
      </c>
      <c r="BP41" s="257">
        <v>7368</v>
      </c>
      <c r="BQ41" s="257">
        <v>248</v>
      </c>
      <c r="BR41" s="257">
        <v>12404.375040829418</v>
      </c>
      <c r="BS41" s="460">
        <f t="shared" si="96"/>
        <v>33979.175040829417</v>
      </c>
      <c r="BT41" s="465">
        <v>0</v>
      </c>
      <c r="BU41" s="257">
        <v>0</v>
      </c>
      <c r="BV41" s="257">
        <v>0</v>
      </c>
      <c r="BW41" s="257">
        <v>0</v>
      </c>
      <c r="BX41" s="257">
        <v>0</v>
      </c>
      <c r="BY41" s="257">
        <v>0</v>
      </c>
      <c r="BZ41" s="257">
        <v>0</v>
      </c>
      <c r="CA41" s="257">
        <v>88.421497939274687</v>
      </c>
      <c r="CB41" s="462">
        <f t="shared" si="97"/>
        <v>88.421497939274687</v>
      </c>
      <c r="CC41" s="463">
        <f t="shared" si="98"/>
        <v>34067.596538768696</v>
      </c>
      <c r="CD41" s="343">
        <v>19</v>
      </c>
      <c r="CE41" s="462">
        <f t="shared" si="99"/>
        <v>3353997.61</v>
      </c>
      <c r="CF41" s="462">
        <f t="shared" si="100"/>
        <v>3904879.4171232553</v>
      </c>
      <c r="CG41" s="462">
        <f t="shared" si="101"/>
        <v>3653208.3277904787</v>
      </c>
      <c r="CH41" s="462">
        <f t="shared" si="102"/>
        <v>4428832.7022512937</v>
      </c>
      <c r="CI41" s="464">
        <f t="shared" si="103"/>
        <v>15340918.057165029</v>
      </c>
      <c r="CJ41" s="462">
        <f t="shared" si="104"/>
        <v>736.44</v>
      </c>
      <c r="CK41" s="462">
        <f t="shared" si="105"/>
        <v>312.15826679439431</v>
      </c>
      <c r="CL41" s="462">
        <f t="shared" si="106"/>
        <v>4249.9581589685231</v>
      </c>
      <c r="CM41" s="462">
        <f t="shared" si="107"/>
        <v>1724.2343383942653</v>
      </c>
      <c r="CN41" s="464">
        <f t="shared" si="108"/>
        <v>7022.7907641571828</v>
      </c>
      <c r="CO41" s="462">
        <f t="shared" si="109"/>
        <v>3354734.0500000003</v>
      </c>
      <c r="CP41" s="462">
        <f t="shared" si="110"/>
        <v>3905191.5753900497</v>
      </c>
      <c r="CQ41" s="462">
        <f t="shared" si="111"/>
        <v>3657458.2859494472</v>
      </c>
      <c r="CR41" s="462">
        <f t="shared" si="112"/>
        <v>4430556.9365896871</v>
      </c>
      <c r="CS41" s="464">
        <f t="shared" si="113"/>
        <v>15347940.847929187</v>
      </c>
    </row>
    <row r="42" spans="1:102" ht="15.75" customHeight="1" x14ac:dyDescent="0.25">
      <c r="A42" s="94" t="s">
        <v>239</v>
      </c>
      <c r="B42" s="343">
        <v>20</v>
      </c>
      <c r="C42" s="257">
        <v>20350.609999999982</v>
      </c>
      <c r="D42" s="257">
        <v>27325.159999999971</v>
      </c>
      <c r="E42" s="257">
        <v>12431.266397934727</v>
      </c>
      <c r="F42" s="257">
        <v>20047.090616196307</v>
      </c>
      <c r="G42" s="257">
        <v>18455.313604605846</v>
      </c>
      <c r="H42" s="257">
        <v>26338.127559006727</v>
      </c>
      <c r="I42" s="257">
        <v>11306.58178299855</v>
      </c>
      <c r="J42" s="257">
        <v>21627.220207525279</v>
      </c>
      <c r="K42" s="460">
        <f t="shared" si="87"/>
        <v>157881.3701682674</v>
      </c>
      <c r="L42" s="465">
        <v>0</v>
      </c>
      <c r="M42" s="257">
        <v>17987.170000000002</v>
      </c>
      <c r="N42" s="257">
        <v>0</v>
      </c>
      <c r="O42" s="257">
        <v>27972.430544176383</v>
      </c>
      <c r="P42" s="257">
        <v>0</v>
      </c>
      <c r="Q42" s="257">
        <v>37630.447013396544</v>
      </c>
      <c r="R42" s="257">
        <v>0</v>
      </c>
      <c r="S42" s="257">
        <v>31526.283174348671</v>
      </c>
      <c r="T42" s="462">
        <f t="shared" si="88"/>
        <v>115116.3307319216</v>
      </c>
      <c r="U42" s="463">
        <f t="shared" si="89"/>
        <v>272997.700900189</v>
      </c>
      <c r="V42" s="343">
        <v>20</v>
      </c>
      <c r="W42" s="257">
        <v>0</v>
      </c>
      <c r="X42" s="257">
        <v>4040.9899999999961</v>
      </c>
      <c r="Y42" s="257">
        <v>0</v>
      </c>
      <c r="Z42" s="257">
        <v>3245.9885087781277</v>
      </c>
      <c r="AA42" s="257">
        <v>0</v>
      </c>
      <c r="AB42" s="257">
        <v>1565.1072210019543</v>
      </c>
      <c r="AC42" s="257">
        <v>748.19729577182261</v>
      </c>
      <c r="AD42" s="257">
        <v>1127.9716457804673</v>
      </c>
      <c r="AE42" s="460">
        <f t="shared" si="90"/>
        <v>10728.254671332368</v>
      </c>
      <c r="AF42" s="465">
        <v>0</v>
      </c>
      <c r="AG42" s="257">
        <v>7437.13</v>
      </c>
      <c r="AH42" s="257">
        <v>0</v>
      </c>
      <c r="AI42" s="257">
        <v>9508.0144097029752</v>
      </c>
      <c r="AJ42" s="257">
        <v>0</v>
      </c>
      <c r="AK42" s="257">
        <v>6252.1381118017443</v>
      </c>
      <c r="AL42" s="257">
        <v>0</v>
      </c>
      <c r="AM42" s="257">
        <v>4525.2200307290987</v>
      </c>
      <c r="AN42" s="462">
        <f t="shared" si="91"/>
        <v>27722.502552233818</v>
      </c>
      <c r="AO42" s="463">
        <f t="shared" si="92"/>
        <v>38450.757223566186</v>
      </c>
      <c r="AP42" s="343">
        <v>20</v>
      </c>
      <c r="AQ42" s="257">
        <v>102735.72999999988</v>
      </c>
      <c r="AR42" s="257">
        <v>109385.96999999994</v>
      </c>
      <c r="AS42" s="257">
        <v>45377.822238305336</v>
      </c>
      <c r="AT42" s="257">
        <v>71194.414528523805</v>
      </c>
      <c r="AU42" s="257">
        <v>43113.848339098629</v>
      </c>
      <c r="AV42" s="257">
        <v>81516.233075817552</v>
      </c>
      <c r="AW42" s="257">
        <v>58286.846659545794</v>
      </c>
      <c r="AX42" s="257">
        <v>92186.815027008357</v>
      </c>
      <c r="AY42" s="460">
        <f t="shared" si="93"/>
        <v>603797.67986829928</v>
      </c>
      <c r="AZ42" s="465">
        <v>0</v>
      </c>
      <c r="BA42" s="257">
        <v>95596.910000000033</v>
      </c>
      <c r="BB42" s="257">
        <v>0</v>
      </c>
      <c r="BC42" s="257">
        <v>108397.30585406182</v>
      </c>
      <c r="BD42" s="257">
        <v>0</v>
      </c>
      <c r="BE42" s="257">
        <v>120637.99241925692</v>
      </c>
      <c r="BF42" s="257">
        <v>0</v>
      </c>
      <c r="BG42" s="257">
        <v>133078.79211494169</v>
      </c>
      <c r="BH42" s="462">
        <f t="shared" si="94"/>
        <v>457711.00038826047</v>
      </c>
      <c r="BI42" s="463">
        <f t="shared" si="95"/>
        <v>1061508.6802565597</v>
      </c>
      <c r="BJ42" s="343">
        <v>20</v>
      </c>
      <c r="BK42" s="257">
        <v>0</v>
      </c>
      <c r="BL42" s="257">
        <v>2285.3899999999976</v>
      </c>
      <c r="BM42" s="257">
        <v>0</v>
      </c>
      <c r="BN42" s="257">
        <v>8402.2862346629008</v>
      </c>
      <c r="BO42" s="257">
        <v>0</v>
      </c>
      <c r="BP42" s="257">
        <v>4563.131996954814</v>
      </c>
      <c r="BQ42" s="257">
        <v>0</v>
      </c>
      <c r="BR42" s="257">
        <v>5080.391853495129</v>
      </c>
      <c r="BS42" s="460">
        <f t="shared" si="96"/>
        <v>20331.200085112843</v>
      </c>
      <c r="BT42" s="465">
        <v>0</v>
      </c>
      <c r="BU42" s="257">
        <v>1538.63</v>
      </c>
      <c r="BV42" s="257">
        <v>0</v>
      </c>
      <c r="BW42" s="257">
        <v>1786.7376051674139</v>
      </c>
      <c r="BX42" s="257">
        <v>0</v>
      </c>
      <c r="BY42" s="257">
        <v>1028.5937710073533</v>
      </c>
      <c r="BZ42" s="257">
        <v>0</v>
      </c>
      <c r="CA42" s="257">
        <v>732.96953818168743</v>
      </c>
      <c r="CB42" s="462">
        <f t="shared" si="97"/>
        <v>5086.9309143564542</v>
      </c>
      <c r="CC42" s="463">
        <f t="shared" si="98"/>
        <v>25418.130999469297</v>
      </c>
      <c r="CD42" s="343">
        <v>20</v>
      </c>
      <c r="CE42" s="462">
        <f t="shared" si="99"/>
        <v>266123.84999999974</v>
      </c>
      <c r="CF42" s="462">
        <f t="shared" si="100"/>
        <v>160698.86852440119</v>
      </c>
      <c r="CG42" s="462">
        <f t="shared" si="101"/>
        <v>175551.76179648555</v>
      </c>
      <c r="CH42" s="462">
        <f t="shared" si="102"/>
        <v>190364.0244721254</v>
      </c>
      <c r="CI42" s="464">
        <f t="shared" si="103"/>
        <v>792738.50479301182</v>
      </c>
      <c r="CJ42" s="462">
        <f t="shared" si="104"/>
        <v>122559.84000000004</v>
      </c>
      <c r="CK42" s="462">
        <f t="shared" si="105"/>
        <v>147664.4884131086</v>
      </c>
      <c r="CL42" s="462">
        <f t="shared" si="106"/>
        <v>165549.17131546256</v>
      </c>
      <c r="CM42" s="462">
        <f t="shared" si="107"/>
        <v>169863.26485820118</v>
      </c>
      <c r="CN42" s="464">
        <f t="shared" si="108"/>
        <v>605636.76458677242</v>
      </c>
      <c r="CO42" s="462">
        <f t="shared" si="109"/>
        <v>388683.68999999983</v>
      </c>
      <c r="CP42" s="462">
        <f t="shared" si="110"/>
        <v>308363.35693750985</v>
      </c>
      <c r="CQ42" s="462">
        <f t="shared" si="111"/>
        <v>341100.93311194808</v>
      </c>
      <c r="CR42" s="462">
        <f t="shared" si="112"/>
        <v>360227.28933032654</v>
      </c>
      <c r="CS42" s="464">
        <f t="shared" si="113"/>
        <v>1398375.2693797844</v>
      </c>
    </row>
    <row r="43" spans="1:102" ht="15.75" customHeight="1" x14ac:dyDescent="0.25">
      <c r="A43" s="94" t="s">
        <v>1417</v>
      </c>
      <c r="B43" s="343">
        <v>21</v>
      </c>
      <c r="C43" s="257">
        <f t="shared" ref="C43:J43" si="114">C19</f>
        <v>0</v>
      </c>
      <c r="D43" s="257">
        <f t="shared" si="114"/>
        <v>0</v>
      </c>
      <c r="E43" s="257">
        <f t="shared" si="114"/>
        <v>0</v>
      </c>
      <c r="F43" s="257">
        <f t="shared" si="114"/>
        <v>0</v>
      </c>
      <c r="G43" s="257">
        <f t="shared" si="114"/>
        <v>0</v>
      </c>
      <c r="H43" s="257">
        <f t="shared" si="114"/>
        <v>0</v>
      </c>
      <c r="I43" s="257">
        <f t="shared" si="114"/>
        <v>0</v>
      </c>
      <c r="J43" s="257">
        <f t="shared" si="114"/>
        <v>0</v>
      </c>
      <c r="K43" s="460">
        <f t="shared" si="87"/>
        <v>0</v>
      </c>
      <c r="L43" s="465">
        <f t="shared" ref="L43" si="115">L19</f>
        <v>0</v>
      </c>
      <c r="M43" s="257">
        <f>M19</f>
        <v>664807</v>
      </c>
      <c r="N43" s="257">
        <f t="shared" ref="N43:S43" si="116">N19</f>
        <v>0</v>
      </c>
      <c r="O43" s="257">
        <f t="shared" si="116"/>
        <v>763265</v>
      </c>
      <c r="P43" s="257">
        <f t="shared" si="116"/>
        <v>0</v>
      </c>
      <c r="Q43" s="257">
        <f t="shared" si="116"/>
        <v>1043946</v>
      </c>
      <c r="R43" s="257">
        <f t="shared" si="116"/>
        <v>0</v>
      </c>
      <c r="S43" s="257">
        <f t="shared" si="116"/>
        <v>1164546</v>
      </c>
      <c r="T43" s="462">
        <f t="shared" si="88"/>
        <v>3636564</v>
      </c>
      <c r="U43" s="463">
        <f t="shared" si="89"/>
        <v>3636564</v>
      </c>
      <c r="V43" s="343">
        <v>21</v>
      </c>
      <c r="W43" s="257">
        <f t="shared" ref="W43:AD43" si="117">W19</f>
        <v>0</v>
      </c>
      <c r="X43" s="257">
        <f t="shared" si="117"/>
        <v>0</v>
      </c>
      <c r="Y43" s="257">
        <f t="shared" si="117"/>
        <v>0</v>
      </c>
      <c r="Z43" s="257">
        <f t="shared" si="117"/>
        <v>0</v>
      </c>
      <c r="AA43" s="257">
        <f t="shared" si="117"/>
        <v>0</v>
      </c>
      <c r="AB43" s="257">
        <f t="shared" si="117"/>
        <v>0</v>
      </c>
      <c r="AC43" s="257">
        <f t="shared" si="117"/>
        <v>0</v>
      </c>
      <c r="AD43" s="257">
        <f t="shared" si="117"/>
        <v>0</v>
      </c>
      <c r="AE43" s="460">
        <f t="shared" si="90"/>
        <v>0</v>
      </c>
      <c r="AF43" s="465">
        <f t="shared" ref="AF43:AM43" si="118">AF19</f>
        <v>0</v>
      </c>
      <c r="AG43" s="257">
        <f t="shared" si="118"/>
        <v>325962</v>
      </c>
      <c r="AH43" s="257">
        <f t="shared" si="118"/>
        <v>0</v>
      </c>
      <c r="AI43" s="257">
        <f t="shared" si="118"/>
        <v>285567</v>
      </c>
      <c r="AJ43" s="257">
        <f t="shared" si="118"/>
        <v>0</v>
      </c>
      <c r="AK43" s="257">
        <f t="shared" si="118"/>
        <v>304052</v>
      </c>
      <c r="AL43" s="257">
        <f t="shared" si="118"/>
        <v>0</v>
      </c>
      <c r="AM43" s="257">
        <f t="shared" si="118"/>
        <v>354283</v>
      </c>
      <c r="AN43" s="462">
        <f t="shared" si="91"/>
        <v>1269864</v>
      </c>
      <c r="AO43" s="463">
        <f t="shared" si="92"/>
        <v>1269864</v>
      </c>
      <c r="AP43" s="343">
        <v>21</v>
      </c>
      <c r="AQ43" s="257">
        <f t="shared" ref="AQ43:AX43" si="119">AQ19</f>
        <v>0</v>
      </c>
      <c r="AR43" s="257">
        <f t="shared" si="119"/>
        <v>0</v>
      </c>
      <c r="AS43" s="257">
        <f t="shared" si="119"/>
        <v>0</v>
      </c>
      <c r="AT43" s="257">
        <f t="shared" si="119"/>
        <v>0</v>
      </c>
      <c r="AU43" s="257">
        <f t="shared" si="119"/>
        <v>0</v>
      </c>
      <c r="AV43" s="257">
        <f t="shared" si="119"/>
        <v>0</v>
      </c>
      <c r="AW43" s="257">
        <f t="shared" si="119"/>
        <v>0</v>
      </c>
      <c r="AX43" s="257">
        <f t="shared" si="119"/>
        <v>0</v>
      </c>
      <c r="AY43" s="460">
        <f t="shared" si="93"/>
        <v>0</v>
      </c>
      <c r="AZ43" s="465">
        <f t="shared" ref="AZ43:BG43" si="120">AZ19</f>
        <v>0</v>
      </c>
      <c r="BA43" s="257">
        <f t="shared" si="120"/>
        <v>5644145</v>
      </c>
      <c r="BB43" s="257">
        <f t="shared" si="120"/>
        <v>0</v>
      </c>
      <c r="BC43" s="257">
        <f t="shared" si="120"/>
        <v>6253389</v>
      </c>
      <c r="BD43" s="257">
        <f t="shared" si="120"/>
        <v>0</v>
      </c>
      <c r="BE43" s="257">
        <f t="shared" si="120"/>
        <v>7275783</v>
      </c>
      <c r="BF43" s="257">
        <f t="shared" si="120"/>
        <v>0</v>
      </c>
      <c r="BG43" s="257">
        <f t="shared" si="120"/>
        <v>7853027</v>
      </c>
      <c r="BH43" s="462">
        <f t="shared" si="94"/>
        <v>27026344</v>
      </c>
      <c r="BI43" s="463">
        <f t="shared" si="95"/>
        <v>27026344</v>
      </c>
      <c r="BJ43" s="343">
        <v>21</v>
      </c>
      <c r="BK43" s="257">
        <f t="shared" ref="BK43:BR43" si="121">BK19</f>
        <v>0</v>
      </c>
      <c r="BL43" s="257">
        <f t="shared" si="121"/>
        <v>0</v>
      </c>
      <c r="BM43" s="257">
        <f t="shared" si="121"/>
        <v>0</v>
      </c>
      <c r="BN43" s="257">
        <f t="shared" si="121"/>
        <v>0</v>
      </c>
      <c r="BO43" s="257">
        <f t="shared" si="121"/>
        <v>0</v>
      </c>
      <c r="BP43" s="257">
        <f t="shared" si="121"/>
        <v>0</v>
      </c>
      <c r="BQ43" s="257">
        <f t="shared" si="121"/>
        <v>0</v>
      </c>
      <c r="BR43" s="257">
        <f t="shared" si="121"/>
        <v>0</v>
      </c>
      <c r="BS43" s="460">
        <f t="shared" si="96"/>
        <v>0</v>
      </c>
      <c r="BT43" s="465">
        <f t="shared" ref="BT43:CA43" si="122">BT19</f>
        <v>0</v>
      </c>
      <c r="BU43" s="257">
        <f t="shared" si="122"/>
        <v>129281</v>
      </c>
      <c r="BV43" s="257">
        <f t="shared" si="122"/>
        <v>0</v>
      </c>
      <c r="BW43" s="257">
        <f t="shared" si="122"/>
        <v>135808</v>
      </c>
      <c r="BX43" s="257">
        <f t="shared" si="122"/>
        <v>0</v>
      </c>
      <c r="BY43" s="257">
        <f t="shared" si="122"/>
        <v>130936</v>
      </c>
      <c r="BZ43" s="257">
        <f t="shared" si="122"/>
        <v>0</v>
      </c>
      <c r="CA43" s="257">
        <f t="shared" si="122"/>
        <v>116384</v>
      </c>
      <c r="CB43" s="462">
        <f t="shared" si="97"/>
        <v>512409</v>
      </c>
      <c r="CC43" s="463">
        <f t="shared" si="98"/>
        <v>512409</v>
      </c>
      <c r="CD43" s="343">
        <v>21</v>
      </c>
      <c r="CE43" s="462">
        <f t="shared" si="99"/>
        <v>0</v>
      </c>
      <c r="CF43" s="462">
        <f t="shared" si="100"/>
        <v>0</v>
      </c>
      <c r="CG43" s="462">
        <f t="shared" si="101"/>
        <v>0</v>
      </c>
      <c r="CH43" s="462">
        <f t="shared" si="102"/>
        <v>0</v>
      </c>
      <c r="CI43" s="464">
        <f t="shared" si="103"/>
        <v>0</v>
      </c>
      <c r="CJ43" s="462">
        <f t="shared" si="104"/>
        <v>6764195</v>
      </c>
      <c r="CK43" s="462">
        <f t="shared" si="105"/>
        <v>7438029</v>
      </c>
      <c r="CL43" s="462">
        <f t="shared" si="106"/>
        <v>8754717</v>
      </c>
      <c r="CM43" s="462">
        <f t="shared" si="107"/>
        <v>9488240</v>
      </c>
      <c r="CN43" s="464">
        <f t="shared" si="108"/>
        <v>32445181</v>
      </c>
      <c r="CO43" s="462">
        <f t="shared" si="109"/>
        <v>6764195</v>
      </c>
      <c r="CP43" s="462">
        <f t="shared" si="110"/>
        <v>7438029</v>
      </c>
      <c r="CQ43" s="462">
        <f t="shared" si="111"/>
        <v>8754717</v>
      </c>
      <c r="CR43" s="462">
        <f t="shared" si="112"/>
        <v>9488240</v>
      </c>
      <c r="CS43" s="464">
        <f t="shared" si="113"/>
        <v>32445181</v>
      </c>
      <c r="CU43" s="362"/>
    </row>
    <row r="44" spans="1:102" ht="15.75" customHeight="1" x14ac:dyDescent="0.25">
      <c r="A44" s="94" t="s">
        <v>1348</v>
      </c>
      <c r="B44" s="343">
        <v>22</v>
      </c>
      <c r="C44" s="257">
        <v>281196.08000000031</v>
      </c>
      <c r="D44" s="257">
        <v>0</v>
      </c>
      <c r="E44" s="257">
        <v>265795.79372952756</v>
      </c>
      <c r="F44" s="257">
        <v>25108.61845897853</v>
      </c>
      <c r="G44" s="257">
        <v>237540.97365423827</v>
      </c>
      <c r="H44" s="257">
        <v>114.05501828054267</v>
      </c>
      <c r="I44" s="257">
        <v>202929.13999999996</v>
      </c>
      <c r="J44" s="257">
        <v>101.53926614257391</v>
      </c>
      <c r="K44" s="460">
        <f t="shared" si="87"/>
        <v>1012786.2001271676</v>
      </c>
      <c r="L44" s="465">
        <v>0</v>
      </c>
      <c r="M44" s="465">
        <v>595443.72000000358</v>
      </c>
      <c r="N44" s="465">
        <v>0</v>
      </c>
      <c r="O44" s="465">
        <v>607074.79038235173</v>
      </c>
      <c r="P44" s="465">
        <v>0</v>
      </c>
      <c r="Q44" s="465">
        <v>524587.00310968433</v>
      </c>
      <c r="R44" s="465">
        <v>0</v>
      </c>
      <c r="S44" s="465">
        <v>377345.99980104866</v>
      </c>
      <c r="T44" s="462">
        <f t="shared" si="88"/>
        <v>2104451.5132930879</v>
      </c>
      <c r="U44" s="463">
        <f t="shared" si="89"/>
        <v>3117237.7134202556</v>
      </c>
      <c r="V44" s="343">
        <v>22</v>
      </c>
      <c r="W44" s="257">
        <v>24429.96999999999</v>
      </c>
      <c r="X44" s="257">
        <v>0</v>
      </c>
      <c r="Y44" s="257">
        <v>9358.4534656750875</v>
      </c>
      <c r="Z44" s="257">
        <v>1364.3222787130298</v>
      </c>
      <c r="AA44" s="257">
        <v>11523.480000000001</v>
      </c>
      <c r="AB44" s="257">
        <v>0</v>
      </c>
      <c r="AC44" s="257">
        <v>20751.400000000001</v>
      </c>
      <c r="AD44" s="257">
        <v>0</v>
      </c>
      <c r="AE44" s="460">
        <f t="shared" si="90"/>
        <v>67427.625744388119</v>
      </c>
      <c r="AF44" s="465">
        <v>0</v>
      </c>
      <c r="AG44" s="257">
        <v>249992.39999999927</v>
      </c>
      <c r="AH44" s="257">
        <v>0</v>
      </c>
      <c r="AI44" s="257">
        <v>187355.49389868631</v>
      </c>
      <c r="AJ44" s="257">
        <v>0</v>
      </c>
      <c r="AK44" s="257">
        <v>201804.609999999</v>
      </c>
      <c r="AL44" s="257">
        <v>0</v>
      </c>
      <c r="AM44" s="257">
        <v>182610.02000000083</v>
      </c>
      <c r="AN44" s="462">
        <f t="shared" si="91"/>
        <v>821762.52389868547</v>
      </c>
      <c r="AO44" s="463">
        <f t="shared" si="92"/>
        <v>889190.14964307356</v>
      </c>
      <c r="AP44" s="343">
        <v>22</v>
      </c>
      <c r="AQ44" s="257">
        <v>1820068.38</v>
      </c>
      <c r="AR44" s="257">
        <v>9.459999999999992</v>
      </c>
      <c r="AS44" s="257">
        <v>2124117.6352501209</v>
      </c>
      <c r="AT44" s="257">
        <v>107353.85542547025</v>
      </c>
      <c r="AU44" s="257">
        <v>2411004.3514661789</v>
      </c>
      <c r="AV44" s="257">
        <v>1343.6061670629197</v>
      </c>
      <c r="AW44" s="257">
        <v>2561463.9220799506</v>
      </c>
      <c r="AX44" s="257">
        <v>1801.9876656239892</v>
      </c>
      <c r="AY44" s="460">
        <f t="shared" si="93"/>
        <v>9027163.1980544068</v>
      </c>
      <c r="AZ44" s="465">
        <v>0</v>
      </c>
      <c r="BA44" s="257">
        <v>5514576.0099998955</v>
      </c>
      <c r="BB44" s="257">
        <v>0</v>
      </c>
      <c r="BC44" s="257">
        <v>5314009.0071091447</v>
      </c>
      <c r="BD44" s="257">
        <v>0</v>
      </c>
      <c r="BE44" s="257">
        <v>5050631.2862015218</v>
      </c>
      <c r="BF44" s="257">
        <v>0</v>
      </c>
      <c r="BG44" s="257">
        <v>5464592.1444493998</v>
      </c>
      <c r="BH44" s="462">
        <f t="shared" si="94"/>
        <v>21343808.447759964</v>
      </c>
      <c r="BI44" s="463">
        <f t="shared" si="95"/>
        <v>30370971.64581437</v>
      </c>
      <c r="BJ44" s="343">
        <v>22</v>
      </c>
      <c r="BK44" s="257">
        <v>21366.96000000001</v>
      </c>
      <c r="BL44" s="257">
        <v>0</v>
      </c>
      <c r="BM44" s="257">
        <v>26281.119396039579</v>
      </c>
      <c r="BN44" s="257">
        <v>1562.422937693133</v>
      </c>
      <c r="BO44" s="257">
        <v>26342.049999999988</v>
      </c>
      <c r="BP44" s="257">
        <v>0</v>
      </c>
      <c r="BQ44" s="257">
        <v>53189.300000000025</v>
      </c>
      <c r="BR44" s="257">
        <v>14.779950611900546</v>
      </c>
      <c r="BS44" s="460">
        <f t="shared" si="96"/>
        <v>128756.63228434464</v>
      </c>
      <c r="BT44" s="465">
        <v>0</v>
      </c>
      <c r="BU44" s="257">
        <v>163303.91999999963</v>
      </c>
      <c r="BV44" s="257">
        <v>0</v>
      </c>
      <c r="BW44" s="257">
        <v>187326.52266041012</v>
      </c>
      <c r="BX44" s="257">
        <v>0</v>
      </c>
      <c r="BY44" s="257">
        <v>236988.6899999993</v>
      </c>
      <c r="BZ44" s="257">
        <v>0</v>
      </c>
      <c r="CA44" s="257">
        <v>332338.63402084756</v>
      </c>
      <c r="CB44" s="462">
        <f t="shared" si="97"/>
        <v>919957.76668125647</v>
      </c>
      <c r="CC44" s="463">
        <f t="shared" si="98"/>
        <v>1048714.3989656011</v>
      </c>
      <c r="CD44" s="343">
        <v>22</v>
      </c>
      <c r="CE44" s="462">
        <f t="shared" si="99"/>
        <v>2147070.85</v>
      </c>
      <c r="CF44" s="462">
        <f t="shared" si="100"/>
        <v>2560942.2209422179</v>
      </c>
      <c r="CG44" s="462">
        <f t="shared" si="101"/>
        <v>2687868.5163057605</v>
      </c>
      <c r="CH44" s="462">
        <f t="shared" si="102"/>
        <v>2840252.0689623286</v>
      </c>
      <c r="CI44" s="464">
        <f t="shared" si="103"/>
        <v>10236133.656210307</v>
      </c>
      <c r="CJ44" s="462">
        <f t="shared" si="104"/>
        <v>6523316.0499998983</v>
      </c>
      <c r="CK44" s="462">
        <f t="shared" si="105"/>
        <v>6295765.8140505925</v>
      </c>
      <c r="CL44" s="462">
        <f t="shared" si="106"/>
        <v>6014011.5893112049</v>
      </c>
      <c r="CM44" s="462">
        <f t="shared" si="107"/>
        <v>6356886.7982712965</v>
      </c>
      <c r="CN44" s="464">
        <f t="shared" si="108"/>
        <v>25189980.251632996</v>
      </c>
      <c r="CO44" s="462">
        <f t="shared" si="109"/>
        <v>8670386.8999998998</v>
      </c>
      <c r="CP44" s="462">
        <f t="shared" si="110"/>
        <v>8856708.0349928122</v>
      </c>
      <c r="CQ44" s="462">
        <f t="shared" si="111"/>
        <v>8701880.1056169663</v>
      </c>
      <c r="CR44" s="462">
        <f t="shared" si="112"/>
        <v>9197138.8672336265</v>
      </c>
      <c r="CS44" s="464">
        <f t="shared" si="113"/>
        <v>35426113.907843299</v>
      </c>
      <c r="CU44" s="362"/>
      <c r="CV44" s="362"/>
    </row>
    <row r="45" spans="1:102" ht="15.75" customHeight="1" x14ac:dyDescent="0.25">
      <c r="A45" s="94" t="s">
        <v>1349</v>
      </c>
      <c r="B45" s="343">
        <v>23</v>
      </c>
      <c r="C45" s="257">
        <v>204865.01104659651</v>
      </c>
      <c r="D45" s="257">
        <v>0</v>
      </c>
      <c r="E45" s="257">
        <v>201817.09785500984</v>
      </c>
      <c r="F45" s="257">
        <v>25108.61845897853</v>
      </c>
      <c r="G45" s="257">
        <v>187576.49892616316</v>
      </c>
      <c r="H45" s="257">
        <v>114.05501828054267</v>
      </c>
      <c r="I45" s="257">
        <v>163054.32999847541</v>
      </c>
      <c r="J45" s="257">
        <v>101.53926614257391</v>
      </c>
      <c r="K45" s="460">
        <f t="shared" si="87"/>
        <v>782637.1505696465</v>
      </c>
      <c r="L45" s="465">
        <v>0</v>
      </c>
      <c r="M45" s="257">
        <v>218341.54164204805</v>
      </c>
      <c r="N45" s="257">
        <v>0</v>
      </c>
      <c r="O45" s="257">
        <v>214519.41860543721</v>
      </c>
      <c r="P45" s="257">
        <v>0</v>
      </c>
      <c r="Q45" s="257">
        <v>106540.91575591787</v>
      </c>
      <c r="R45" s="257">
        <v>0</v>
      </c>
      <c r="S45" s="257">
        <v>-14203.020747444469</v>
      </c>
      <c r="T45" s="462">
        <f t="shared" si="88"/>
        <v>525198.85525595862</v>
      </c>
      <c r="U45" s="463">
        <f t="shared" si="89"/>
        <v>1307836.0058256052</v>
      </c>
      <c r="V45" s="343">
        <v>23</v>
      </c>
      <c r="W45" s="257">
        <v>17798.420496893181</v>
      </c>
      <c r="X45" s="257">
        <v>0</v>
      </c>
      <c r="Y45" s="257">
        <v>7085.755770256802</v>
      </c>
      <c r="Z45" s="257">
        <v>1364.3222787130298</v>
      </c>
      <c r="AA45" s="257">
        <v>9099.4484597217943</v>
      </c>
      <c r="AB45" s="257">
        <v>0</v>
      </c>
      <c r="AC45" s="257">
        <v>16673.828231521424</v>
      </c>
      <c r="AD45" s="257">
        <v>0</v>
      </c>
      <c r="AE45" s="460">
        <f t="shared" si="90"/>
        <v>52021.775237106231</v>
      </c>
      <c r="AF45" s="465">
        <v>0</v>
      </c>
      <c r="AG45" s="257">
        <v>77613.919808797364</v>
      </c>
      <c r="AH45" s="257">
        <v>0</v>
      </c>
      <c r="AI45" s="257">
        <v>50864.138285922229</v>
      </c>
      <c r="AJ45" s="257">
        <v>0</v>
      </c>
      <c r="AK45" s="257">
        <v>66963.368715195917</v>
      </c>
      <c r="AL45" s="257">
        <v>0</v>
      </c>
      <c r="AM45" s="257">
        <v>46227.04856048763</v>
      </c>
      <c r="AN45" s="462">
        <f t="shared" ref="AN45:AN47" si="123">SUM(AF45:AM45)</f>
        <v>241668.47537040315</v>
      </c>
      <c r="AO45" s="463">
        <f t="shared" si="92"/>
        <v>293690.2506075094</v>
      </c>
      <c r="AP45" s="343">
        <v>23</v>
      </c>
      <c r="AQ45" s="257">
        <v>1326008.2742770121</v>
      </c>
      <c r="AR45" s="257">
        <v>9.459999999999992</v>
      </c>
      <c r="AS45" s="257">
        <v>1606856.9262101918</v>
      </c>
      <c r="AT45" s="257">
        <v>107353.85542547025</v>
      </c>
      <c r="AU45" s="257">
        <v>1903852.7103541754</v>
      </c>
      <c r="AV45" s="257">
        <v>1343.6061670629197</v>
      </c>
      <c r="AW45" s="257">
        <v>2058189.2325805484</v>
      </c>
      <c r="AX45" s="257">
        <v>1801.9876656239892</v>
      </c>
      <c r="AY45" s="460">
        <f t="shared" si="93"/>
        <v>7005416.0526800854</v>
      </c>
      <c r="AZ45" s="465">
        <v>0</v>
      </c>
      <c r="BA45" s="257">
        <v>2175056.9348775418</v>
      </c>
      <c r="BB45" s="257">
        <v>0</v>
      </c>
      <c r="BC45" s="257">
        <v>1985755.145476351</v>
      </c>
      <c r="BD45" s="257">
        <v>0</v>
      </c>
      <c r="BE45" s="257">
        <v>1766545.1771691365</v>
      </c>
      <c r="BF45" s="257">
        <v>0</v>
      </c>
      <c r="BG45" s="257">
        <v>2084568.7676346467</v>
      </c>
      <c r="BH45" s="462">
        <f t="shared" ref="BH45:BH47" si="124">SUM(AZ45:BG45)</f>
        <v>8011926.0251576761</v>
      </c>
      <c r="BI45" s="463">
        <f t="shared" si="95"/>
        <v>15017342.077837761</v>
      </c>
      <c r="BJ45" s="343">
        <v>23</v>
      </c>
      <c r="BK45" s="257">
        <v>15566.868842667307</v>
      </c>
      <c r="BL45" s="257">
        <v>0</v>
      </c>
      <c r="BM45" s="257">
        <v>19831.651147027544</v>
      </c>
      <c r="BN45" s="257">
        <v>1562.422937693133</v>
      </c>
      <c r="BO45" s="257">
        <v>20800.845430235862</v>
      </c>
      <c r="BP45" s="257">
        <v>0</v>
      </c>
      <c r="BQ45" s="257">
        <v>42737.80332675689</v>
      </c>
      <c r="BR45" s="257">
        <v>14.779950611900546</v>
      </c>
      <c r="BS45" s="460">
        <f t="shared" si="96"/>
        <v>100514.37163499263</v>
      </c>
      <c r="BT45" s="465">
        <v>0</v>
      </c>
      <c r="BU45" s="257">
        <v>75734.571924923715</v>
      </c>
      <c r="BV45" s="257">
        <v>0</v>
      </c>
      <c r="BW45" s="257">
        <v>94127.259969501538</v>
      </c>
      <c r="BX45" s="257">
        <v>0</v>
      </c>
      <c r="BY45" s="257">
        <v>138914.60856236785</v>
      </c>
      <c r="BZ45" s="257">
        <v>0</v>
      </c>
      <c r="CA45" s="257">
        <v>218364.41472562688</v>
      </c>
      <c r="CB45" s="462">
        <f t="shared" ref="CB45:CB47" si="125">SUM(BT45:CA45)</f>
        <v>527140.85518242</v>
      </c>
      <c r="CC45" s="463">
        <f t="shared" si="98"/>
        <v>627655.22681741265</v>
      </c>
      <c r="CD45" s="343">
        <v>23</v>
      </c>
      <c r="CE45" s="462">
        <f t="shared" si="99"/>
        <v>1564248.0346631689</v>
      </c>
      <c r="CF45" s="462">
        <f t="shared" si="100"/>
        <v>1970980.6500833409</v>
      </c>
      <c r="CG45" s="462">
        <f t="shared" si="101"/>
        <v>2122787.1643556398</v>
      </c>
      <c r="CH45" s="462">
        <f t="shared" si="102"/>
        <v>2282573.5010196799</v>
      </c>
      <c r="CI45" s="464">
        <f t="shared" si="103"/>
        <v>7940589.3501218306</v>
      </c>
      <c r="CJ45" s="462">
        <f t="shared" si="104"/>
        <v>2546746.9682533112</v>
      </c>
      <c r="CK45" s="462">
        <f t="shared" si="105"/>
        <v>2345265.9623372122</v>
      </c>
      <c r="CL45" s="462">
        <f t="shared" si="106"/>
        <v>2078964.0702026179</v>
      </c>
      <c r="CM45" s="462">
        <f t="shared" si="107"/>
        <v>2334957.2101733168</v>
      </c>
      <c r="CN45" s="464">
        <f t="shared" si="108"/>
        <v>9305934.2109664585</v>
      </c>
      <c r="CO45" s="462">
        <f t="shared" si="109"/>
        <v>4110995.0029164804</v>
      </c>
      <c r="CP45" s="462">
        <f t="shared" si="110"/>
        <v>4316246.6124205533</v>
      </c>
      <c r="CQ45" s="462">
        <f t="shared" si="111"/>
        <v>4201751.2345582573</v>
      </c>
      <c r="CR45" s="462">
        <f t="shared" si="112"/>
        <v>4617530.7111929972</v>
      </c>
      <c r="CS45" s="464">
        <f t="shared" si="113"/>
        <v>17246523.561088286</v>
      </c>
    </row>
    <row r="46" spans="1:102" ht="15.75" customHeight="1" x14ac:dyDescent="0.25">
      <c r="A46" s="94" t="s">
        <v>1350</v>
      </c>
      <c r="B46" s="343">
        <v>24</v>
      </c>
      <c r="C46" s="257">
        <v>6096.9700000000012</v>
      </c>
      <c r="D46" s="257">
        <v>0</v>
      </c>
      <c r="E46" s="257">
        <v>5120.8299999999981</v>
      </c>
      <c r="F46" s="257">
        <v>0</v>
      </c>
      <c r="G46" s="257">
        <v>11490.370000000004</v>
      </c>
      <c r="H46" s="257">
        <v>0</v>
      </c>
      <c r="I46" s="257">
        <v>14001.949999999997</v>
      </c>
      <c r="J46" s="257">
        <v>0</v>
      </c>
      <c r="K46" s="460">
        <f t="shared" si="87"/>
        <v>36710.120000000003</v>
      </c>
      <c r="L46" s="465">
        <v>0</v>
      </c>
      <c r="M46" s="257">
        <v>41909.470000000016</v>
      </c>
      <c r="N46" s="257">
        <v>0</v>
      </c>
      <c r="O46" s="257">
        <v>43580.759999999973</v>
      </c>
      <c r="P46" s="257">
        <v>0</v>
      </c>
      <c r="Q46" s="257">
        <v>83201.190000000031</v>
      </c>
      <c r="R46" s="257">
        <v>0</v>
      </c>
      <c r="S46" s="257">
        <v>83331.73000000004</v>
      </c>
      <c r="T46" s="462">
        <f t="shared" si="88"/>
        <v>252023.15000000005</v>
      </c>
      <c r="U46" s="463">
        <f t="shared" si="89"/>
        <v>288733.27000000008</v>
      </c>
      <c r="V46" s="343">
        <v>24</v>
      </c>
      <c r="W46" s="257">
        <v>630.14</v>
      </c>
      <c r="X46" s="257">
        <v>0</v>
      </c>
      <c r="Y46" s="257">
        <v>177.8</v>
      </c>
      <c r="Z46" s="257">
        <v>0</v>
      </c>
      <c r="AA46" s="257">
        <v>1062.29</v>
      </c>
      <c r="AB46" s="257">
        <v>0</v>
      </c>
      <c r="AC46" s="257">
        <v>1560.9499999999998</v>
      </c>
      <c r="AD46" s="257">
        <v>0</v>
      </c>
      <c r="AE46" s="460">
        <f t="shared" si="90"/>
        <v>3431.18</v>
      </c>
      <c r="AF46" s="465">
        <v>0</v>
      </c>
      <c r="AG46" s="257">
        <v>10901.420000000002</v>
      </c>
      <c r="AH46" s="257">
        <v>0</v>
      </c>
      <c r="AI46" s="257">
        <v>6922.2799999999988</v>
      </c>
      <c r="AJ46" s="257">
        <v>0</v>
      </c>
      <c r="AK46" s="257">
        <v>18623.089999999989</v>
      </c>
      <c r="AL46" s="257">
        <v>0</v>
      </c>
      <c r="AM46" s="257">
        <v>23887.510000000002</v>
      </c>
      <c r="AN46" s="462">
        <f t="shared" si="123"/>
        <v>60334.299999999996</v>
      </c>
      <c r="AO46" s="463">
        <f t="shared" si="92"/>
        <v>63765.479999999996</v>
      </c>
      <c r="AP46" s="343">
        <v>24</v>
      </c>
      <c r="AQ46" s="257">
        <v>42823.380000000019</v>
      </c>
      <c r="AR46" s="257">
        <v>0</v>
      </c>
      <c r="AS46" s="257">
        <v>35971.290000000008</v>
      </c>
      <c r="AT46" s="257">
        <v>0</v>
      </c>
      <c r="AU46" s="257">
        <v>100450.28999999957</v>
      </c>
      <c r="AV46" s="257">
        <v>0</v>
      </c>
      <c r="AW46" s="257">
        <v>103877.27999999978</v>
      </c>
      <c r="AX46" s="257">
        <v>0</v>
      </c>
      <c r="AY46" s="460">
        <f t="shared" si="93"/>
        <v>283122.23999999941</v>
      </c>
      <c r="AZ46" s="465">
        <v>0</v>
      </c>
      <c r="BA46" s="257">
        <v>294027.01999999967</v>
      </c>
      <c r="BB46" s="257">
        <v>0</v>
      </c>
      <c r="BC46" s="257">
        <v>290076.86000000016</v>
      </c>
      <c r="BD46" s="257">
        <v>0</v>
      </c>
      <c r="BE46" s="257">
        <v>495015.27000000433</v>
      </c>
      <c r="BF46" s="257">
        <v>0</v>
      </c>
      <c r="BG46" s="257">
        <v>525293.26999999885</v>
      </c>
      <c r="BH46" s="462">
        <f t="shared" si="124"/>
        <v>1604412.420000003</v>
      </c>
      <c r="BI46" s="463">
        <f t="shared" si="95"/>
        <v>1887534.6600000025</v>
      </c>
      <c r="BJ46" s="343">
        <v>24</v>
      </c>
      <c r="BK46" s="257">
        <v>280.37</v>
      </c>
      <c r="BL46" s="257">
        <v>0</v>
      </c>
      <c r="BM46" s="257">
        <v>0</v>
      </c>
      <c r="BN46" s="257">
        <v>0</v>
      </c>
      <c r="BO46" s="257">
        <v>677.26</v>
      </c>
      <c r="BP46" s="257">
        <v>0</v>
      </c>
      <c r="BQ46" s="257">
        <v>438.62</v>
      </c>
      <c r="BR46" s="257">
        <v>0</v>
      </c>
      <c r="BS46" s="460">
        <f t="shared" si="96"/>
        <v>1396.25</v>
      </c>
      <c r="BT46" s="465">
        <v>0</v>
      </c>
      <c r="BU46" s="257">
        <v>1380.7200000000003</v>
      </c>
      <c r="BV46" s="257">
        <v>0</v>
      </c>
      <c r="BW46" s="257">
        <v>1300.99</v>
      </c>
      <c r="BX46" s="257">
        <v>0</v>
      </c>
      <c r="BY46" s="257">
        <v>4818.5800000000008</v>
      </c>
      <c r="BZ46" s="257">
        <v>0</v>
      </c>
      <c r="CA46" s="257">
        <v>9129.1300000000028</v>
      </c>
      <c r="CB46" s="462">
        <f t="shared" si="125"/>
        <v>16629.420000000006</v>
      </c>
      <c r="CC46" s="463">
        <f t="shared" si="98"/>
        <v>18025.670000000006</v>
      </c>
      <c r="CD46" s="343">
        <v>24</v>
      </c>
      <c r="CE46" s="462">
        <f t="shared" si="99"/>
        <v>49830.860000000022</v>
      </c>
      <c r="CF46" s="462">
        <f t="shared" si="100"/>
        <v>41269.920000000006</v>
      </c>
      <c r="CG46" s="462">
        <f t="shared" si="101"/>
        <v>113680.20999999957</v>
      </c>
      <c r="CH46" s="462">
        <f t="shared" si="102"/>
        <v>119878.79999999977</v>
      </c>
      <c r="CI46" s="464">
        <f t="shared" si="103"/>
        <v>324659.7899999994</v>
      </c>
      <c r="CJ46" s="462">
        <f t="shared" si="104"/>
        <v>348218.62999999966</v>
      </c>
      <c r="CK46" s="462">
        <f t="shared" si="105"/>
        <v>341880.89000000013</v>
      </c>
      <c r="CL46" s="462">
        <f t="shared" si="106"/>
        <v>601658.13000000431</v>
      </c>
      <c r="CM46" s="462">
        <f t="shared" si="107"/>
        <v>641641.63999999885</v>
      </c>
      <c r="CN46" s="464">
        <f t="shared" si="108"/>
        <v>1933399.2900000028</v>
      </c>
      <c r="CO46" s="462">
        <f t="shared" si="109"/>
        <v>398049.48999999964</v>
      </c>
      <c r="CP46" s="462">
        <f t="shared" si="110"/>
        <v>383150.81000000011</v>
      </c>
      <c r="CQ46" s="462">
        <f t="shared" si="111"/>
        <v>715338.34000000393</v>
      </c>
      <c r="CR46" s="462">
        <f t="shared" si="112"/>
        <v>761520.43999999866</v>
      </c>
      <c r="CS46" s="464">
        <f t="shared" si="113"/>
        <v>2258059.0800000024</v>
      </c>
    </row>
    <row r="47" spans="1:102" ht="15.75" customHeight="1" x14ac:dyDescent="0.25">
      <c r="A47" s="94" t="s">
        <v>1351</v>
      </c>
      <c r="B47" s="343">
        <v>25</v>
      </c>
      <c r="C47" s="257">
        <v>4441.9389715559564</v>
      </c>
      <c r="D47" s="257">
        <v>0</v>
      </c>
      <c r="E47" s="257">
        <v>3859.8393820863666</v>
      </c>
      <c r="F47" s="257">
        <v>0</v>
      </c>
      <c r="G47" s="257">
        <v>9073.3033422311273</v>
      </c>
      <c r="H47" s="257">
        <v>0</v>
      </c>
      <c r="I47" s="257">
        <v>11250.619678978352</v>
      </c>
      <c r="J47" s="257">
        <v>0</v>
      </c>
      <c r="K47" s="460">
        <f t="shared" si="87"/>
        <v>28625.7013748518</v>
      </c>
      <c r="L47" s="465">
        <v>0</v>
      </c>
      <c r="M47" s="257">
        <v>27866.529121859836</v>
      </c>
      <c r="N47" s="257">
        <v>0</v>
      </c>
      <c r="O47" s="257">
        <v>29003.712141924509</v>
      </c>
      <c r="P47" s="257">
        <v>0</v>
      </c>
      <c r="Q47" s="257">
        <v>65430.427889141691</v>
      </c>
      <c r="R47" s="257">
        <v>0</v>
      </c>
      <c r="S47" s="257">
        <v>67067.249551567278</v>
      </c>
      <c r="T47" s="462">
        <f t="shared" si="88"/>
        <v>189367.91870449332</v>
      </c>
      <c r="U47" s="463">
        <f t="shared" si="89"/>
        <v>217993.62007934513</v>
      </c>
      <c r="V47" s="343">
        <v>25</v>
      </c>
      <c r="W47" s="257">
        <v>459.08761623171347</v>
      </c>
      <c r="X47" s="257">
        <v>0</v>
      </c>
      <c r="Y47" s="257">
        <v>134.01722809289828</v>
      </c>
      <c r="Z47" s="257">
        <v>0</v>
      </c>
      <c r="AA47" s="257">
        <v>838.83107397052481</v>
      </c>
      <c r="AB47" s="257">
        <v>0</v>
      </c>
      <c r="AC47" s="257">
        <v>1254.2292172091215</v>
      </c>
      <c r="AD47" s="257">
        <v>0</v>
      </c>
      <c r="AE47" s="460">
        <f t="shared" si="90"/>
        <v>2686.1651355042582</v>
      </c>
      <c r="AF47" s="465">
        <v>0</v>
      </c>
      <c r="AG47" s="257">
        <v>7248.5941220355489</v>
      </c>
      <c r="AH47" s="257">
        <v>0</v>
      </c>
      <c r="AI47" s="257">
        <v>4606.8911254829254</v>
      </c>
      <c r="AJ47" s="257">
        <v>0</v>
      </c>
      <c r="AK47" s="257">
        <v>14645.424510370518</v>
      </c>
      <c r="AL47" s="257">
        <v>0</v>
      </c>
      <c r="AM47" s="257">
        <v>19225.205024971379</v>
      </c>
      <c r="AN47" s="462">
        <f t="shared" si="123"/>
        <v>45726.114782860372</v>
      </c>
      <c r="AO47" s="463">
        <f t="shared" si="92"/>
        <v>48412.279918364628</v>
      </c>
      <c r="AP47" s="343">
        <v>25</v>
      </c>
      <c r="AQ47" s="257">
        <v>31198.913643293301</v>
      </c>
      <c r="AR47" s="257">
        <v>0</v>
      </c>
      <c r="AS47" s="257">
        <v>27113.456562012329</v>
      </c>
      <c r="AT47" s="257">
        <v>0</v>
      </c>
      <c r="AU47" s="257">
        <v>79319.982906127625</v>
      </c>
      <c r="AV47" s="257">
        <v>0</v>
      </c>
      <c r="AW47" s="257">
        <v>83465.786591634882</v>
      </c>
      <c r="AX47" s="257">
        <v>0</v>
      </c>
      <c r="AY47" s="460">
        <f t="shared" si="93"/>
        <v>221098.13970306815</v>
      </c>
      <c r="AZ47" s="465">
        <v>0</v>
      </c>
      <c r="BA47" s="257">
        <v>195505.03777412721</v>
      </c>
      <c r="BB47" s="257">
        <v>0</v>
      </c>
      <c r="BC47" s="257">
        <v>193050.91848956619</v>
      </c>
      <c r="BD47" s="257">
        <v>0</v>
      </c>
      <c r="BE47" s="257">
        <v>389286.02977624809</v>
      </c>
      <c r="BF47" s="257">
        <v>0</v>
      </c>
      <c r="BG47" s="257">
        <v>422767.83197527181</v>
      </c>
      <c r="BH47" s="462">
        <f t="shared" si="124"/>
        <v>1200609.8180152131</v>
      </c>
      <c r="BI47" s="463">
        <f t="shared" si="95"/>
        <v>1421707.9577182813</v>
      </c>
      <c r="BJ47" s="343">
        <v>25</v>
      </c>
      <c r="BK47" s="257">
        <v>204.26317161723665</v>
      </c>
      <c r="BL47" s="257">
        <v>0</v>
      </c>
      <c r="BM47" s="257">
        <v>0</v>
      </c>
      <c r="BN47" s="257">
        <v>0</v>
      </c>
      <c r="BO47" s="257">
        <v>534.79439056875026</v>
      </c>
      <c r="BP47" s="257">
        <v>0</v>
      </c>
      <c r="BQ47" s="257">
        <v>352.43282568452861</v>
      </c>
      <c r="BR47" s="257">
        <v>0</v>
      </c>
      <c r="BS47" s="460">
        <f t="shared" si="96"/>
        <v>1091.4903878705154</v>
      </c>
      <c r="BT47" s="465">
        <v>0</v>
      </c>
      <c r="BU47" s="257">
        <v>918.0711206592282</v>
      </c>
      <c r="BV47" s="257">
        <v>0</v>
      </c>
      <c r="BW47" s="257">
        <v>865.83023011811611</v>
      </c>
      <c r="BX47" s="257">
        <v>0</v>
      </c>
      <c r="BY47" s="257">
        <v>3789.3899260101962</v>
      </c>
      <c r="BZ47" s="257">
        <v>0</v>
      </c>
      <c r="CA47" s="257">
        <v>7347.329041395149</v>
      </c>
      <c r="CB47" s="462">
        <f t="shared" si="125"/>
        <v>12920.62031818269</v>
      </c>
      <c r="CC47" s="463">
        <f t="shared" si="98"/>
        <v>14012.110706053205</v>
      </c>
      <c r="CD47" s="343">
        <v>25</v>
      </c>
      <c r="CE47" s="462">
        <f t="shared" si="99"/>
        <v>36304.203402698207</v>
      </c>
      <c r="CF47" s="462">
        <f t="shared" si="100"/>
        <v>31107.313172191592</v>
      </c>
      <c r="CG47" s="462">
        <f t="shared" si="101"/>
        <v>89766.911712898029</v>
      </c>
      <c r="CH47" s="462">
        <f t="shared" si="102"/>
        <v>96323.068313506883</v>
      </c>
      <c r="CI47" s="464">
        <f t="shared" si="103"/>
        <v>253501.49660129473</v>
      </c>
      <c r="CJ47" s="462">
        <f t="shared" si="104"/>
        <v>231538.23213868184</v>
      </c>
      <c r="CK47" s="462">
        <f t="shared" si="105"/>
        <v>227527.35198709177</v>
      </c>
      <c r="CL47" s="462">
        <f t="shared" si="106"/>
        <v>473151.2721017705</v>
      </c>
      <c r="CM47" s="462">
        <f t="shared" si="107"/>
        <v>516407.61559320561</v>
      </c>
      <c r="CN47" s="464">
        <f t="shared" si="108"/>
        <v>1448624.4718207496</v>
      </c>
      <c r="CO47" s="462">
        <f t="shared" si="109"/>
        <v>267842.43554138002</v>
      </c>
      <c r="CP47" s="462">
        <f t="shared" si="110"/>
        <v>258634.66515928332</v>
      </c>
      <c r="CQ47" s="462">
        <f t="shared" si="111"/>
        <v>562918.18381466845</v>
      </c>
      <c r="CR47" s="462">
        <f t="shared" si="112"/>
        <v>612730.68390671245</v>
      </c>
      <c r="CS47" s="464">
        <f t="shared" si="113"/>
        <v>1702125.9684220443</v>
      </c>
    </row>
    <row r="48" spans="1:102" ht="15.75" customHeight="1" x14ac:dyDescent="0.25">
      <c r="A48" s="94" t="s">
        <v>228</v>
      </c>
      <c r="B48" s="343">
        <v>26</v>
      </c>
      <c r="C48" s="257">
        <v>17296.679999999982</v>
      </c>
      <c r="D48" s="257">
        <v>2999.7899999999968</v>
      </c>
      <c r="E48" s="257">
        <v>20265.913436192506</v>
      </c>
      <c r="F48" s="257">
        <v>10055.318621586632</v>
      </c>
      <c r="G48" s="257">
        <v>32974.146928147689</v>
      </c>
      <c r="H48" s="257">
        <v>5182.894349142638</v>
      </c>
      <c r="I48" s="257">
        <v>17908.262893149615</v>
      </c>
      <c r="J48" s="257">
        <v>7021.8539918322376</v>
      </c>
      <c r="K48" s="460">
        <f t="shared" si="87"/>
        <v>113704.86022005128</v>
      </c>
      <c r="L48" s="465">
        <v>0</v>
      </c>
      <c r="M48" s="257">
        <v>39509.090000000004</v>
      </c>
      <c r="N48" s="257">
        <v>0</v>
      </c>
      <c r="O48" s="257">
        <v>95272.199928451053</v>
      </c>
      <c r="P48" s="257">
        <v>0</v>
      </c>
      <c r="Q48" s="257">
        <v>81866.278358179858</v>
      </c>
      <c r="R48" s="257">
        <v>0</v>
      </c>
      <c r="S48" s="257">
        <v>71448.685308261105</v>
      </c>
      <c r="T48" s="462">
        <f t="shared" si="88"/>
        <v>288096.25359489198</v>
      </c>
      <c r="U48" s="463">
        <f t="shared" si="89"/>
        <v>401801.11381494324</v>
      </c>
      <c r="V48" s="343">
        <v>26</v>
      </c>
      <c r="W48" s="257">
        <v>394.64999999999958</v>
      </c>
      <c r="X48" s="257">
        <v>675.72999999999934</v>
      </c>
      <c r="Y48" s="257">
        <v>313.65270935652217</v>
      </c>
      <c r="Z48" s="257">
        <v>1182.2132874282611</v>
      </c>
      <c r="AA48" s="257">
        <v>289.71376548662511</v>
      </c>
      <c r="AB48" s="257">
        <v>1045.4309010980626</v>
      </c>
      <c r="AC48" s="257">
        <v>127.77116488165454</v>
      </c>
      <c r="AD48" s="257">
        <v>1890.5869341900211</v>
      </c>
      <c r="AE48" s="460">
        <f t="shared" si="90"/>
        <v>5919.7487624411451</v>
      </c>
      <c r="AF48" s="465">
        <v>0</v>
      </c>
      <c r="AG48" s="257">
        <v>10150.900000000001</v>
      </c>
      <c r="AH48" s="257">
        <v>0</v>
      </c>
      <c r="AI48" s="257">
        <v>8918.4388288439404</v>
      </c>
      <c r="AJ48" s="257">
        <v>0</v>
      </c>
      <c r="AK48" s="257">
        <v>11414.887230490202</v>
      </c>
      <c r="AL48" s="257">
        <v>0</v>
      </c>
      <c r="AM48" s="257">
        <v>22640.926160486004</v>
      </c>
      <c r="AN48" s="462">
        <f t="shared" si="91"/>
        <v>53125.152219820142</v>
      </c>
      <c r="AO48" s="463">
        <f t="shared" si="92"/>
        <v>59044.900982261286</v>
      </c>
      <c r="AP48" s="343">
        <v>26</v>
      </c>
      <c r="AQ48" s="257">
        <v>45409.889999999963</v>
      </c>
      <c r="AR48" s="257">
        <v>22072.719999999983</v>
      </c>
      <c r="AS48" s="257">
        <v>60707.450892721667</v>
      </c>
      <c r="AT48" s="257">
        <v>28072.477545814592</v>
      </c>
      <c r="AU48" s="257">
        <v>72721.760036754946</v>
      </c>
      <c r="AV48" s="257">
        <v>24355.693126252347</v>
      </c>
      <c r="AW48" s="257">
        <v>79035.886441019844</v>
      </c>
      <c r="AX48" s="257">
        <v>25646.140138605304</v>
      </c>
      <c r="AY48" s="460">
        <f t="shared" si="93"/>
        <v>358022.01818116865</v>
      </c>
      <c r="AZ48" s="465">
        <v>0</v>
      </c>
      <c r="BA48" s="257">
        <v>228769.74999999994</v>
      </c>
      <c r="BB48" s="257">
        <v>0</v>
      </c>
      <c r="BC48" s="257">
        <v>232429.52132965924</v>
      </c>
      <c r="BD48" s="257">
        <v>0</v>
      </c>
      <c r="BE48" s="257">
        <v>277363.29043140815</v>
      </c>
      <c r="BF48" s="257">
        <v>0</v>
      </c>
      <c r="BG48" s="257">
        <v>290243.51151421521</v>
      </c>
      <c r="BH48" s="462">
        <f t="shared" si="94"/>
        <v>1028806.0732752825</v>
      </c>
      <c r="BI48" s="463">
        <f t="shared" si="95"/>
        <v>1386828.0914564512</v>
      </c>
      <c r="BJ48" s="343">
        <v>26</v>
      </c>
      <c r="BK48" s="257">
        <v>1165.7399999999989</v>
      </c>
      <c r="BL48" s="257">
        <v>4526.8999999999951</v>
      </c>
      <c r="BM48" s="257">
        <v>196.65050775069494</v>
      </c>
      <c r="BN48" s="257">
        <v>2601.8613358039488</v>
      </c>
      <c r="BO48" s="257">
        <v>771.27828560335706</v>
      </c>
      <c r="BP48" s="257">
        <v>2797.4421533736181</v>
      </c>
      <c r="BQ48" s="257">
        <v>2087.9445196056649</v>
      </c>
      <c r="BR48" s="257">
        <v>3170.5306571806086</v>
      </c>
      <c r="BS48" s="460">
        <f t="shared" si="96"/>
        <v>17318.347459317891</v>
      </c>
      <c r="BT48" s="465">
        <v>0</v>
      </c>
      <c r="BU48" s="257">
        <v>22879.55999999999</v>
      </c>
      <c r="BV48" s="257">
        <v>0</v>
      </c>
      <c r="BW48" s="257">
        <v>17322.517440212934</v>
      </c>
      <c r="BX48" s="257">
        <v>0</v>
      </c>
      <c r="BY48" s="257">
        <v>18745.059741868863</v>
      </c>
      <c r="BZ48" s="257">
        <v>0</v>
      </c>
      <c r="CA48" s="257">
        <v>21098.849991851195</v>
      </c>
      <c r="CB48" s="462">
        <f t="shared" si="97"/>
        <v>80045.987173932983</v>
      </c>
      <c r="CC48" s="463">
        <f t="shared" si="98"/>
        <v>97364.334633250866</v>
      </c>
      <c r="CD48" s="343">
        <v>26</v>
      </c>
      <c r="CE48" s="462">
        <f t="shared" si="99"/>
        <v>94542.099999999919</v>
      </c>
      <c r="CF48" s="462">
        <f t="shared" si="100"/>
        <v>123395.53833665482</v>
      </c>
      <c r="CG48" s="462">
        <f t="shared" si="101"/>
        <v>140138.3595458593</v>
      </c>
      <c r="CH48" s="462">
        <f t="shared" si="102"/>
        <v>136888.97674046495</v>
      </c>
      <c r="CI48" s="464">
        <f t="shared" si="103"/>
        <v>494964.97462297895</v>
      </c>
      <c r="CJ48" s="462">
        <f t="shared" si="104"/>
        <v>301309.29999999993</v>
      </c>
      <c r="CK48" s="462">
        <f t="shared" si="105"/>
        <v>353942.67752716719</v>
      </c>
      <c r="CL48" s="462">
        <f t="shared" si="106"/>
        <v>389389.51576194708</v>
      </c>
      <c r="CM48" s="462">
        <f t="shared" si="107"/>
        <v>405431.97297481349</v>
      </c>
      <c r="CN48" s="464">
        <f t="shared" si="108"/>
        <v>1450073.4662639278</v>
      </c>
      <c r="CO48" s="462">
        <f t="shared" si="109"/>
        <v>395851.39999999985</v>
      </c>
      <c r="CP48" s="462">
        <f t="shared" si="110"/>
        <v>477338.21586382203</v>
      </c>
      <c r="CQ48" s="462">
        <f t="shared" si="111"/>
        <v>529527.8753078063</v>
      </c>
      <c r="CR48" s="462">
        <f t="shared" si="112"/>
        <v>542320.94971527846</v>
      </c>
      <c r="CS48" s="464">
        <f t="shared" si="113"/>
        <v>1945038.4408869066</v>
      </c>
    </row>
    <row r="49" spans="1:97" ht="15.75" customHeight="1" x14ac:dyDescent="0.25">
      <c r="A49" s="94" t="s">
        <v>229</v>
      </c>
      <c r="B49" s="343">
        <v>27</v>
      </c>
      <c r="C49" s="257">
        <v>22582.749999999978</v>
      </c>
      <c r="D49" s="257">
        <v>197593.95999999979</v>
      </c>
      <c r="E49" s="257">
        <v>106538.63040951184</v>
      </c>
      <c r="F49" s="257">
        <v>974481.35404813592</v>
      </c>
      <c r="G49" s="257">
        <v>143138.14671717802</v>
      </c>
      <c r="H49" s="257">
        <v>738121.0097749182</v>
      </c>
      <c r="I49" s="257">
        <v>215307.45336704614</v>
      </c>
      <c r="J49" s="257">
        <v>576346.00400970899</v>
      </c>
      <c r="K49" s="460">
        <f t="shared" si="87"/>
        <v>2974109.3083264986</v>
      </c>
      <c r="L49" s="465">
        <v>0</v>
      </c>
      <c r="M49" s="257">
        <v>157208.02000000005</v>
      </c>
      <c r="N49" s="257">
        <v>0</v>
      </c>
      <c r="O49" s="257">
        <v>609296.40474970441</v>
      </c>
      <c r="P49" s="257">
        <v>0</v>
      </c>
      <c r="Q49" s="257">
        <v>422764.55802247935</v>
      </c>
      <c r="R49" s="257">
        <v>0</v>
      </c>
      <c r="S49" s="257">
        <v>357074.04697744193</v>
      </c>
      <c r="T49" s="462">
        <f t="shared" si="88"/>
        <v>1546343.0297496258</v>
      </c>
      <c r="U49" s="463">
        <f t="shared" si="89"/>
        <v>4520452.338076124</v>
      </c>
      <c r="V49" s="343">
        <v>27</v>
      </c>
      <c r="W49" s="257">
        <v>7375.9999999999927</v>
      </c>
      <c r="X49" s="257">
        <v>3376.6999999999962</v>
      </c>
      <c r="Y49" s="257">
        <v>0</v>
      </c>
      <c r="Z49" s="257">
        <v>816.08510565308995</v>
      </c>
      <c r="AA49" s="257">
        <v>0</v>
      </c>
      <c r="AB49" s="257">
        <v>0</v>
      </c>
      <c r="AC49" s="257">
        <v>0</v>
      </c>
      <c r="AD49" s="257">
        <v>0</v>
      </c>
      <c r="AE49" s="460">
        <f t="shared" si="90"/>
        <v>11568.78510565308</v>
      </c>
      <c r="AF49" s="465">
        <v>0</v>
      </c>
      <c r="AG49" s="257">
        <v>39135</v>
      </c>
      <c r="AH49" s="257">
        <v>0</v>
      </c>
      <c r="AI49" s="257">
        <v>10254.184434749986</v>
      </c>
      <c r="AJ49" s="257">
        <v>0</v>
      </c>
      <c r="AK49" s="257">
        <v>0</v>
      </c>
      <c r="AL49" s="257">
        <v>0</v>
      </c>
      <c r="AM49" s="257">
        <v>0</v>
      </c>
      <c r="AN49" s="462">
        <f t="shared" si="91"/>
        <v>49389.184434749986</v>
      </c>
      <c r="AO49" s="463">
        <f t="shared" si="92"/>
        <v>60957.969540403064</v>
      </c>
      <c r="AP49" s="343">
        <v>27</v>
      </c>
      <c r="AQ49" s="257">
        <v>229048.70999999976</v>
      </c>
      <c r="AR49" s="257">
        <v>507056.07999999949</v>
      </c>
      <c r="AS49" s="257">
        <v>44511.661910544346</v>
      </c>
      <c r="AT49" s="257">
        <v>140743.10743252881</v>
      </c>
      <c r="AU49" s="257">
        <v>100650.71978093946</v>
      </c>
      <c r="AV49" s="257">
        <v>78371.749239516022</v>
      </c>
      <c r="AW49" s="257">
        <v>58489.392309257855</v>
      </c>
      <c r="AX49" s="257">
        <v>55969.792796679329</v>
      </c>
      <c r="AY49" s="460">
        <f t="shared" si="93"/>
        <v>1214841.2134694648</v>
      </c>
      <c r="AZ49" s="465">
        <v>0</v>
      </c>
      <c r="BA49" s="257">
        <v>1194448.9999999998</v>
      </c>
      <c r="BB49" s="257">
        <v>0</v>
      </c>
      <c r="BC49" s="257">
        <v>729827.91890586587</v>
      </c>
      <c r="BD49" s="257">
        <v>0</v>
      </c>
      <c r="BE49" s="257">
        <v>589510.68605286046</v>
      </c>
      <c r="BF49" s="257">
        <v>0</v>
      </c>
      <c r="BG49" s="257">
        <v>561005.12558261771</v>
      </c>
      <c r="BH49" s="462">
        <f t="shared" si="94"/>
        <v>3074792.7305413438</v>
      </c>
      <c r="BI49" s="463">
        <f t="shared" si="95"/>
        <v>4289633.9440108091</v>
      </c>
      <c r="BJ49" s="343">
        <v>27</v>
      </c>
      <c r="BK49" s="257">
        <v>355285.36999999959</v>
      </c>
      <c r="BL49" s="257">
        <v>4159915.0999999959</v>
      </c>
      <c r="BM49" s="257">
        <v>301797.75305924017</v>
      </c>
      <c r="BN49" s="257">
        <v>3477583.2807007371</v>
      </c>
      <c r="BO49" s="257">
        <v>325837.66340995178</v>
      </c>
      <c r="BP49" s="257">
        <v>3899790.8945548674</v>
      </c>
      <c r="BQ49" s="257">
        <v>436467.24434821983</v>
      </c>
      <c r="BR49" s="257">
        <v>4062375.4793672953</v>
      </c>
      <c r="BS49" s="460">
        <f t="shared" si="96"/>
        <v>17019052.785440311</v>
      </c>
      <c r="BT49" s="465">
        <v>0</v>
      </c>
      <c r="BU49" s="257">
        <v>253826.24999999857</v>
      </c>
      <c r="BV49" s="257">
        <v>0</v>
      </c>
      <c r="BW49" s="257">
        <v>452172.6113041637</v>
      </c>
      <c r="BX49" s="257">
        <v>0</v>
      </c>
      <c r="BY49" s="257">
        <v>297435.97498889902</v>
      </c>
      <c r="BZ49" s="257">
        <v>0</v>
      </c>
      <c r="CA49" s="257">
        <v>230626.17129333754</v>
      </c>
      <c r="CB49" s="462">
        <f t="shared" si="97"/>
        <v>1234061.0075863989</v>
      </c>
      <c r="CC49" s="463">
        <f t="shared" si="98"/>
        <v>18253113.793026708</v>
      </c>
      <c r="CD49" s="343">
        <v>27</v>
      </c>
      <c r="CE49" s="462">
        <f t="shared" si="99"/>
        <v>5482234.6699999943</v>
      </c>
      <c r="CF49" s="462">
        <f t="shared" si="100"/>
        <v>5046471.8726663515</v>
      </c>
      <c r="CG49" s="462">
        <f t="shared" si="101"/>
        <v>5285910.183477371</v>
      </c>
      <c r="CH49" s="462">
        <f t="shared" si="102"/>
        <v>5404955.3661982073</v>
      </c>
      <c r="CI49" s="464">
        <f t="shared" si="103"/>
        <v>21219572.09234193</v>
      </c>
      <c r="CJ49" s="462">
        <f t="shared" si="104"/>
        <v>1644618.2699999984</v>
      </c>
      <c r="CK49" s="462">
        <f t="shared" si="105"/>
        <v>1801551.119394484</v>
      </c>
      <c r="CL49" s="462">
        <f t="shared" si="106"/>
        <v>1309711.2190642387</v>
      </c>
      <c r="CM49" s="462">
        <f t="shared" si="107"/>
        <v>1148705.3438533973</v>
      </c>
      <c r="CN49" s="464">
        <f t="shared" si="108"/>
        <v>5904585.9523121184</v>
      </c>
      <c r="CO49" s="462">
        <f t="shared" si="109"/>
        <v>7126852.939999992</v>
      </c>
      <c r="CP49" s="462">
        <f t="shared" si="110"/>
        <v>6848022.9920608345</v>
      </c>
      <c r="CQ49" s="462">
        <f t="shared" si="111"/>
        <v>6595621.4025416104</v>
      </c>
      <c r="CR49" s="462">
        <f t="shared" si="112"/>
        <v>6553660.7100516045</v>
      </c>
      <c r="CS49" s="464">
        <f t="shared" si="113"/>
        <v>27124158.044654042</v>
      </c>
    </row>
    <row r="50" spans="1:97" ht="15.75" customHeight="1" x14ac:dyDescent="0.25">
      <c r="A50" s="94" t="s">
        <v>1457</v>
      </c>
      <c r="B50" s="343">
        <v>28</v>
      </c>
      <c r="C50" s="257">
        <v>35655.619999999959</v>
      </c>
      <c r="D50" s="257">
        <v>153799.09999999986</v>
      </c>
      <c r="E50" s="257">
        <v>208698.30415835939</v>
      </c>
      <c r="F50" s="257">
        <v>1238098.5454373106</v>
      </c>
      <c r="G50" s="257">
        <v>190507.26862636436</v>
      </c>
      <c r="H50" s="257">
        <v>1127664.979836345</v>
      </c>
      <c r="I50" s="257">
        <v>138714.17998837668</v>
      </c>
      <c r="J50" s="257">
        <v>800510.83041876263</v>
      </c>
      <c r="K50" s="460">
        <f t="shared" si="87"/>
        <v>3893648.8284655185</v>
      </c>
      <c r="L50" s="465">
        <v>0</v>
      </c>
      <c r="M50" s="257">
        <v>0</v>
      </c>
      <c r="N50" s="257">
        <v>0</v>
      </c>
      <c r="O50" s="257">
        <v>0</v>
      </c>
      <c r="P50" s="257">
        <v>0</v>
      </c>
      <c r="Q50" s="257">
        <v>0</v>
      </c>
      <c r="R50" s="257">
        <v>0</v>
      </c>
      <c r="S50" s="257">
        <v>0</v>
      </c>
      <c r="T50" s="462">
        <f t="shared" si="88"/>
        <v>0</v>
      </c>
      <c r="U50" s="463">
        <f t="shared" si="89"/>
        <v>3893648.8284655185</v>
      </c>
      <c r="V50" s="343">
        <v>28</v>
      </c>
      <c r="W50" s="257">
        <v>0</v>
      </c>
      <c r="X50" s="257">
        <v>15281.719999999985</v>
      </c>
      <c r="Y50" s="257">
        <v>0</v>
      </c>
      <c r="Z50" s="257">
        <v>6800.1891595417546</v>
      </c>
      <c r="AA50" s="257">
        <v>0</v>
      </c>
      <c r="AB50" s="257">
        <v>9037.7136403841778</v>
      </c>
      <c r="AC50" s="257">
        <v>0</v>
      </c>
      <c r="AD50" s="257">
        <v>5834.0486820439992</v>
      </c>
      <c r="AE50" s="460">
        <f t="shared" si="90"/>
        <v>36953.671481969919</v>
      </c>
      <c r="AF50" s="465">
        <v>0</v>
      </c>
      <c r="AG50" s="257">
        <v>0</v>
      </c>
      <c r="AH50" s="257">
        <v>0</v>
      </c>
      <c r="AI50" s="257">
        <v>0</v>
      </c>
      <c r="AJ50" s="257">
        <v>0</v>
      </c>
      <c r="AK50" s="257">
        <v>0</v>
      </c>
      <c r="AL50" s="257">
        <v>0</v>
      </c>
      <c r="AM50" s="257">
        <v>0</v>
      </c>
      <c r="AN50" s="462">
        <f t="shared" si="91"/>
        <v>0</v>
      </c>
      <c r="AO50" s="463">
        <f t="shared" si="92"/>
        <v>36953.671481969919</v>
      </c>
      <c r="AP50" s="343">
        <v>28</v>
      </c>
      <c r="AQ50" s="257">
        <v>1675220.6799999969</v>
      </c>
      <c r="AR50" s="257">
        <v>11894055.289999992</v>
      </c>
      <c r="AS50" s="257">
        <v>1626243.6532534917</v>
      </c>
      <c r="AT50" s="257">
        <v>11375549.44221019</v>
      </c>
      <c r="AU50" s="257">
        <v>1686534.0386896722</v>
      </c>
      <c r="AV50" s="257">
        <v>12046686.89700317</v>
      </c>
      <c r="AW50" s="257">
        <v>1883437.1280543194</v>
      </c>
      <c r="AX50" s="257">
        <v>12406234.601013539</v>
      </c>
      <c r="AY50" s="460">
        <f t="shared" si="93"/>
        <v>54593961.730224371</v>
      </c>
      <c r="AZ50" s="465">
        <v>0</v>
      </c>
      <c r="BA50" s="257">
        <v>0</v>
      </c>
      <c r="BB50" s="257">
        <v>0</v>
      </c>
      <c r="BC50" s="257">
        <v>253.11265560152464</v>
      </c>
      <c r="BD50" s="257">
        <v>0</v>
      </c>
      <c r="BE50" s="257">
        <v>0</v>
      </c>
      <c r="BF50" s="257">
        <v>0</v>
      </c>
      <c r="BG50" s="257">
        <v>0</v>
      </c>
      <c r="BH50" s="462">
        <f t="shared" si="94"/>
        <v>253.11265560152464</v>
      </c>
      <c r="BI50" s="463">
        <f t="shared" si="95"/>
        <v>54594214.842879973</v>
      </c>
      <c r="BJ50" s="343">
        <v>28</v>
      </c>
      <c r="BK50" s="257">
        <v>37.599999999999966</v>
      </c>
      <c r="BL50" s="257">
        <v>48164.949999999953</v>
      </c>
      <c r="BM50" s="257">
        <v>12499.85355056425</v>
      </c>
      <c r="BN50" s="257">
        <v>36073.861972325394</v>
      </c>
      <c r="BO50" s="257">
        <v>2108.4657286348606</v>
      </c>
      <c r="BP50" s="257">
        <v>42636.679793786563</v>
      </c>
      <c r="BQ50" s="257">
        <v>3929.5866921775009</v>
      </c>
      <c r="BR50" s="257">
        <v>46748.179434387741</v>
      </c>
      <c r="BS50" s="460">
        <f t="shared" si="96"/>
        <v>192199.17717187625</v>
      </c>
      <c r="BT50" s="465">
        <v>0</v>
      </c>
      <c r="BU50" s="257">
        <v>0</v>
      </c>
      <c r="BV50" s="257">
        <v>0</v>
      </c>
      <c r="BW50" s="257">
        <v>0</v>
      </c>
      <c r="BX50" s="257">
        <v>0</v>
      </c>
      <c r="BY50" s="257">
        <v>0</v>
      </c>
      <c r="BZ50" s="257">
        <v>0</v>
      </c>
      <c r="CA50" s="257">
        <v>0</v>
      </c>
      <c r="CB50" s="462">
        <f t="shared" si="97"/>
        <v>0</v>
      </c>
      <c r="CC50" s="463">
        <f t="shared" si="98"/>
        <v>192199.17717187625</v>
      </c>
      <c r="CD50" s="343">
        <v>28</v>
      </c>
      <c r="CE50" s="462">
        <f t="shared" si="99"/>
        <v>13822214.959999988</v>
      </c>
      <c r="CF50" s="462">
        <f t="shared" si="100"/>
        <v>14503963.849741783</v>
      </c>
      <c r="CG50" s="462">
        <f t="shared" si="101"/>
        <v>15105176.043318357</v>
      </c>
      <c r="CH50" s="462">
        <f t="shared" si="102"/>
        <v>15285408.554283606</v>
      </c>
      <c r="CI50" s="464">
        <f t="shared" si="103"/>
        <v>58716763.407343738</v>
      </c>
      <c r="CJ50" s="462">
        <f t="shared" si="104"/>
        <v>0</v>
      </c>
      <c r="CK50" s="462">
        <f t="shared" si="105"/>
        <v>253.11265560152464</v>
      </c>
      <c r="CL50" s="462">
        <f t="shared" si="106"/>
        <v>0</v>
      </c>
      <c r="CM50" s="462">
        <f t="shared" si="107"/>
        <v>0</v>
      </c>
      <c r="CN50" s="464">
        <f t="shared" si="108"/>
        <v>253.11265560152464</v>
      </c>
      <c r="CO50" s="462">
        <f t="shared" si="109"/>
        <v>13822214.959999988</v>
      </c>
      <c r="CP50" s="462">
        <f t="shared" si="110"/>
        <v>14504216.962397385</v>
      </c>
      <c r="CQ50" s="462">
        <f t="shared" si="111"/>
        <v>15105176.043318357</v>
      </c>
      <c r="CR50" s="462">
        <f t="shared" si="112"/>
        <v>15285408.554283606</v>
      </c>
      <c r="CS50" s="464">
        <f t="shared" si="113"/>
        <v>58717016.51999934</v>
      </c>
    </row>
    <row r="51" spans="1:97" ht="15.75" customHeight="1" x14ac:dyDescent="0.25">
      <c r="A51" s="94" t="s">
        <v>463</v>
      </c>
      <c r="B51" s="343">
        <v>29</v>
      </c>
      <c r="C51" s="257">
        <v>9314.1099999999897</v>
      </c>
      <c r="D51" s="257">
        <v>16621.449999999983</v>
      </c>
      <c r="E51" s="257">
        <v>18498.489119875881</v>
      </c>
      <c r="F51" s="257">
        <v>37813.44338503739</v>
      </c>
      <c r="G51" s="257">
        <v>10983.388110705891</v>
      </c>
      <c r="H51" s="257">
        <v>31958.326271918428</v>
      </c>
      <c r="I51" s="257">
        <v>14348.888827829789</v>
      </c>
      <c r="J51" s="257">
        <v>29079.804188618611</v>
      </c>
      <c r="K51" s="460">
        <f t="shared" ref="K51:K54" si="126">SUM(C51:J51)</f>
        <v>168617.89990398596</v>
      </c>
      <c r="L51" s="465">
        <v>0</v>
      </c>
      <c r="M51" s="257">
        <v>42719.170000000013</v>
      </c>
      <c r="N51" s="257">
        <v>0</v>
      </c>
      <c r="O51" s="257">
        <v>113914.01305340424</v>
      </c>
      <c r="P51" s="257">
        <v>0</v>
      </c>
      <c r="Q51" s="257">
        <v>87555.29082004774</v>
      </c>
      <c r="R51" s="257">
        <v>0</v>
      </c>
      <c r="S51" s="257">
        <v>66575.255831158822</v>
      </c>
      <c r="T51" s="462">
        <f t="shared" ref="T51:T54" si="127">SUM(L51:S51)</f>
        <v>310763.72970461083</v>
      </c>
      <c r="U51" s="463">
        <f t="shared" ref="U51:U54" si="128">SUM(T51,K51)</f>
        <v>479381.62960859679</v>
      </c>
      <c r="V51" s="343">
        <v>29</v>
      </c>
      <c r="W51" s="257">
        <v>3006.6999999999957</v>
      </c>
      <c r="X51" s="257">
        <v>71.519999999999939</v>
      </c>
      <c r="Y51" s="257">
        <v>199.97085401389134</v>
      </c>
      <c r="Z51" s="257">
        <v>0</v>
      </c>
      <c r="AA51" s="257">
        <v>0</v>
      </c>
      <c r="AB51" s="257">
        <v>0</v>
      </c>
      <c r="AC51" s="257">
        <v>399.24969989657063</v>
      </c>
      <c r="AD51" s="257">
        <v>0</v>
      </c>
      <c r="AE51" s="460">
        <f t="shared" ref="AE51:AE54" si="129">SUM(W51:AD51)</f>
        <v>3677.4405539104578</v>
      </c>
      <c r="AF51" s="465">
        <v>0</v>
      </c>
      <c r="AG51" s="257">
        <v>8269.31</v>
      </c>
      <c r="AH51" s="257">
        <v>0</v>
      </c>
      <c r="AI51" s="257">
        <v>6805.224321122837</v>
      </c>
      <c r="AJ51" s="257">
        <v>0</v>
      </c>
      <c r="AK51" s="257">
        <v>1272.5971653233166</v>
      </c>
      <c r="AL51" s="257">
        <v>0</v>
      </c>
      <c r="AM51" s="257">
        <v>7926.4875428825435</v>
      </c>
      <c r="AN51" s="462">
        <f t="shared" ref="AN51:AN54" si="130">SUM(AF51:AM51)</f>
        <v>24273.619029328696</v>
      </c>
      <c r="AO51" s="463">
        <f t="shared" ref="AO51:AO54" si="131">SUM(AN51,AE51)</f>
        <v>27951.059583239155</v>
      </c>
      <c r="AP51" s="343">
        <v>29</v>
      </c>
      <c r="AQ51" s="257">
        <v>105007.1999999999</v>
      </c>
      <c r="AR51" s="257">
        <v>195881.29999999976</v>
      </c>
      <c r="AS51" s="257">
        <v>68230.54544064487</v>
      </c>
      <c r="AT51" s="257">
        <v>212193.38864417802</v>
      </c>
      <c r="AU51" s="257">
        <v>52049.643456562757</v>
      </c>
      <c r="AV51" s="257">
        <v>206327.58085955848</v>
      </c>
      <c r="AW51" s="257">
        <v>97945.948462787564</v>
      </c>
      <c r="AX51" s="257">
        <v>247669.41203032373</v>
      </c>
      <c r="AY51" s="460">
        <f t="shared" ref="AY51:AY54" si="132">SUM(AQ51:AX51)</f>
        <v>1185305.0188940549</v>
      </c>
      <c r="AZ51" s="465">
        <v>0</v>
      </c>
      <c r="BA51" s="257">
        <v>520427.53000000183</v>
      </c>
      <c r="BB51" s="257">
        <v>0</v>
      </c>
      <c r="BC51" s="257">
        <v>408263.509141788</v>
      </c>
      <c r="BD51" s="257">
        <v>0</v>
      </c>
      <c r="BE51" s="257">
        <v>492841.14725787233</v>
      </c>
      <c r="BF51" s="257">
        <v>0</v>
      </c>
      <c r="BG51" s="257">
        <v>479083.48015656957</v>
      </c>
      <c r="BH51" s="462">
        <f t="shared" ref="BH51:BH54" si="133">SUM(AZ51:BG51)</f>
        <v>1900615.6665562317</v>
      </c>
      <c r="BI51" s="463">
        <f t="shared" ref="BI51:BI54" si="134">SUM(BH51,AY51)</f>
        <v>3085920.6854502866</v>
      </c>
      <c r="BJ51" s="343">
        <v>29</v>
      </c>
      <c r="BK51" s="257">
        <v>1951.0599999999984</v>
      </c>
      <c r="BL51" s="257">
        <v>8574.1699999999873</v>
      </c>
      <c r="BM51" s="257">
        <v>4162.374074291447</v>
      </c>
      <c r="BN51" s="257">
        <v>2675.6890349452619</v>
      </c>
      <c r="BO51" s="257">
        <v>2664.7417932108665</v>
      </c>
      <c r="BP51" s="257">
        <v>4470.5962266360702</v>
      </c>
      <c r="BQ51" s="257">
        <v>2568.1018811171766</v>
      </c>
      <c r="BR51" s="257">
        <v>1632.6315512655854</v>
      </c>
      <c r="BS51" s="460">
        <f t="shared" ref="BS51:BS54" si="135">SUM(BK51:BR51)</f>
        <v>28699.364561466391</v>
      </c>
      <c r="BT51" s="465">
        <v>0</v>
      </c>
      <c r="BU51" s="257">
        <v>49809.470000000023</v>
      </c>
      <c r="BV51" s="257">
        <v>0</v>
      </c>
      <c r="BW51" s="257">
        <v>35565.980314842287</v>
      </c>
      <c r="BX51" s="257">
        <v>0</v>
      </c>
      <c r="BY51" s="257">
        <v>44351.975195099199</v>
      </c>
      <c r="BZ51" s="257">
        <v>0</v>
      </c>
      <c r="CA51" s="257">
        <v>58670.523184027945</v>
      </c>
      <c r="CB51" s="462">
        <f t="shared" ref="CB51:CB54" si="136">SUM(BT51:CA51)</f>
        <v>188397.94869396946</v>
      </c>
      <c r="CC51" s="463">
        <f t="shared" ref="CC51:CC54" si="137">SUM(CB51,BS51)</f>
        <v>217097.31325543585</v>
      </c>
      <c r="CD51" s="343">
        <v>29</v>
      </c>
      <c r="CE51" s="462">
        <f t="shared" si="99"/>
        <v>340427.5099999996</v>
      </c>
      <c r="CF51" s="462">
        <f t="shared" si="100"/>
        <v>343773.90055298677</v>
      </c>
      <c r="CG51" s="462">
        <f t="shared" si="101"/>
        <v>308454.2767185925</v>
      </c>
      <c r="CH51" s="462">
        <f t="shared" si="102"/>
        <v>393644.03664183902</v>
      </c>
      <c r="CI51" s="464">
        <f t="shared" si="103"/>
        <v>1386299.7239134179</v>
      </c>
      <c r="CJ51" s="462">
        <f t="shared" si="104"/>
        <v>621225.48000000184</v>
      </c>
      <c r="CK51" s="462">
        <f t="shared" si="105"/>
        <v>564548.72683115734</v>
      </c>
      <c r="CL51" s="462">
        <f t="shared" si="106"/>
        <v>626021.0104383427</v>
      </c>
      <c r="CM51" s="462">
        <f t="shared" si="107"/>
        <v>612255.7467146389</v>
      </c>
      <c r="CN51" s="464">
        <f t="shared" si="108"/>
        <v>2424050.9639841407</v>
      </c>
      <c r="CO51" s="462">
        <f t="shared" si="109"/>
        <v>961652.9900000015</v>
      </c>
      <c r="CP51" s="462">
        <f t="shared" si="110"/>
        <v>908322.62738414411</v>
      </c>
      <c r="CQ51" s="462">
        <f t="shared" si="111"/>
        <v>934475.2871569352</v>
      </c>
      <c r="CR51" s="462">
        <f t="shared" si="112"/>
        <v>1005899.783356478</v>
      </c>
      <c r="CS51" s="464">
        <f t="shared" si="113"/>
        <v>3810350.6878975583</v>
      </c>
    </row>
    <row r="52" spans="1:97" ht="15.75" customHeight="1" x14ac:dyDescent="0.25">
      <c r="A52" s="94" t="s">
        <v>1458</v>
      </c>
      <c r="B52" s="343">
        <v>30</v>
      </c>
      <c r="C52" s="257">
        <v>98871.479999999865</v>
      </c>
      <c r="D52" s="257">
        <v>183960.51999999984</v>
      </c>
      <c r="E52" s="257">
        <v>451960.18278830912</v>
      </c>
      <c r="F52" s="257">
        <v>744532.95381783554</v>
      </c>
      <c r="G52" s="257">
        <v>414832.70132976241</v>
      </c>
      <c r="H52" s="257">
        <v>727485.24413652217</v>
      </c>
      <c r="I52" s="257">
        <v>359234.83362227341</v>
      </c>
      <c r="J52" s="257">
        <v>515657.41537572927</v>
      </c>
      <c r="K52" s="460">
        <f t="shared" si="126"/>
        <v>3496535.3310704315</v>
      </c>
      <c r="L52" s="465">
        <v>0</v>
      </c>
      <c r="M52" s="257">
        <v>0</v>
      </c>
      <c r="N52" s="257">
        <v>0</v>
      </c>
      <c r="O52" s="257">
        <v>0</v>
      </c>
      <c r="P52" s="257">
        <v>0</v>
      </c>
      <c r="Q52" s="257">
        <v>0</v>
      </c>
      <c r="R52" s="257">
        <v>0</v>
      </c>
      <c r="S52" s="257">
        <v>0</v>
      </c>
      <c r="T52" s="462">
        <f t="shared" si="127"/>
        <v>0</v>
      </c>
      <c r="U52" s="463">
        <f t="shared" si="128"/>
        <v>3496535.3310704315</v>
      </c>
      <c r="V52" s="343">
        <v>30</v>
      </c>
      <c r="W52" s="257">
        <v>4947.6699999999937</v>
      </c>
      <c r="X52" s="257">
        <v>9969.3899999999867</v>
      </c>
      <c r="Y52" s="257">
        <v>4241.3023053430925</v>
      </c>
      <c r="Z52" s="257">
        <v>26197.301992631452</v>
      </c>
      <c r="AA52" s="257">
        <v>2613.3118920792717</v>
      </c>
      <c r="AB52" s="257">
        <v>21531.094062468135</v>
      </c>
      <c r="AC52" s="257">
        <v>3066.5883922650796</v>
      </c>
      <c r="AD52" s="257">
        <v>12357.838447031532</v>
      </c>
      <c r="AE52" s="460">
        <f t="shared" si="129"/>
        <v>84924.497091818543</v>
      </c>
      <c r="AF52" s="465">
        <v>0</v>
      </c>
      <c r="AG52" s="257">
        <v>0</v>
      </c>
      <c r="AH52" s="257">
        <v>0</v>
      </c>
      <c r="AI52" s="257">
        <v>0</v>
      </c>
      <c r="AJ52" s="257">
        <v>0</v>
      </c>
      <c r="AK52" s="257">
        <v>0</v>
      </c>
      <c r="AL52" s="257">
        <v>0</v>
      </c>
      <c r="AM52" s="257">
        <v>0</v>
      </c>
      <c r="AN52" s="462">
        <f t="shared" si="130"/>
        <v>0</v>
      </c>
      <c r="AO52" s="463">
        <f t="shared" si="131"/>
        <v>84924.497091818543</v>
      </c>
      <c r="AP52" s="343">
        <v>30</v>
      </c>
      <c r="AQ52" s="257">
        <v>2647094.3499999973</v>
      </c>
      <c r="AR52" s="257">
        <v>6406431.269999993</v>
      </c>
      <c r="AS52" s="257">
        <v>2444318.6464225324</v>
      </c>
      <c r="AT52" s="257">
        <v>6317938.4779006885</v>
      </c>
      <c r="AU52" s="257">
        <v>2640951.939146772</v>
      </c>
      <c r="AV52" s="257">
        <v>7322829.1490767971</v>
      </c>
      <c r="AW52" s="257">
        <v>3372810.5593589172</v>
      </c>
      <c r="AX52" s="257">
        <v>8338258.2241714997</v>
      </c>
      <c r="AY52" s="460">
        <f t="shared" si="132"/>
        <v>39490632.616077192</v>
      </c>
      <c r="AZ52" s="465">
        <v>0</v>
      </c>
      <c r="BA52" s="257">
        <v>0</v>
      </c>
      <c r="BB52" s="257">
        <v>0</v>
      </c>
      <c r="BC52" s="257">
        <v>1558.4899459750663</v>
      </c>
      <c r="BD52" s="257">
        <v>0</v>
      </c>
      <c r="BE52" s="257">
        <v>91.589040265110143</v>
      </c>
      <c r="BF52" s="257">
        <v>0</v>
      </c>
      <c r="BG52" s="257">
        <v>439.0313454206929</v>
      </c>
      <c r="BH52" s="462">
        <f t="shared" si="133"/>
        <v>2089.1103316608692</v>
      </c>
      <c r="BI52" s="463">
        <f t="shared" si="134"/>
        <v>39492721.726408854</v>
      </c>
      <c r="BJ52" s="343">
        <v>30</v>
      </c>
      <c r="BK52" s="257">
        <v>0</v>
      </c>
      <c r="BL52" s="257">
        <v>16983.659999999982</v>
      </c>
      <c r="BM52" s="257">
        <v>0</v>
      </c>
      <c r="BN52" s="257">
        <v>821.87570952776082</v>
      </c>
      <c r="BO52" s="257">
        <v>6217.5305786246854</v>
      </c>
      <c r="BP52" s="257">
        <v>0</v>
      </c>
      <c r="BQ52" s="257">
        <v>4540.6421332919608</v>
      </c>
      <c r="BR52" s="257">
        <v>8446.2088921280811</v>
      </c>
      <c r="BS52" s="460">
        <f t="shared" si="135"/>
        <v>37009.91731357247</v>
      </c>
      <c r="BT52" s="465">
        <v>0</v>
      </c>
      <c r="BU52" s="257">
        <v>0</v>
      </c>
      <c r="BV52" s="257">
        <v>0</v>
      </c>
      <c r="BW52" s="257">
        <v>0</v>
      </c>
      <c r="BX52" s="257">
        <v>0</v>
      </c>
      <c r="BY52" s="257">
        <v>0</v>
      </c>
      <c r="BZ52" s="257">
        <v>0</v>
      </c>
      <c r="CA52" s="257">
        <v>0</v>
      </c>
      <c r="CB52" s="462">
        <f t="shared" si="136"/>
        <v>0</v>
      </c>
      <c r="CC52" s="463">
        <f t="shared" si="137"/>
        <v>37009.91731357247</v>
      </c>
      <c r="CD52" s="343">
        <v>30</v>
      </c>
      <c r="CE52" s="462">
        <f t="shared" si="99"/>
        <v>9368258.3399999905</v>
      </c>
      <c r="CF52" s="462">
        <f t="shared" si="100"/>
        <v>9990010.7409368679</v>
      </c>
      <c r="CG52" s="462">
        <f t="shared" si="101"/>
        <v>11136460.970223024</v>
      </c>
      <c r="CH52" s="462">
        <f t="shared" si="102"/>
        <v>12614372.310393134</v>
      </c>
      <c r="CI52" s="464">
        <f t="shared" si="103"/>
        <v>43109102.361553021</v>
      </c>
      <c r="CJ52" s="462">
        <f t="shared" si="104"/>
        <v>0</v>
      </c>
      <c r="CK52" s="462">
        <f t="shared" si="105"/>
        <v>1558.4899459750663</v>
      </c>
      <c r="CL52" s="462">
        <f t="shared" si="106"/>
        <v>91.589040265110143</v>
      </c>
      <c r="CM52" s="462">
        <f t="shared" si="107"/>
        <v>439.0313454206929</v>
      </c>
      <c r="CN52" s="464">
        <f t="shared" si="108"/>
        <v>2089.1103316608692</v>
      </c>
      <c r="CO52" s="462">
        <f t="shared" si="109"/>
        <v>9368258.3399999905</v>
      </c>
      <c r="CP52" s="462">
        <f t="shared" si="110"/>
        <v>9991569.2308828421</v>
      </c>
      <c r="CQ52" s="462">
        <f t="shared" si="111"/>
        <v>11136552.559263289</v>
      </c>
      <c r="CR52" s="462">
        <f t="shared" si="112"/>
        <v>12614811.341738556</v>
      </c>
      <c r="CS52" s="464">
        <f t="shared" si="113"/>
        <v>43111191.471884675</v>
      </c>
    </row>
    <row r="53" spans="1:97" ht="15.75" customHeight="1" x14ac:dyDescent="0.25">
      <c r="A53" s="94" t="s">
        <v>430</v>
      </c>
      <c r="B53" s="343">
        <v>31</v>
      </c>
      <c r="C53" s="257">
        <v>86098.249999999898</v>
      </c>
      <c r="D53" s="257">
        <v>131841.91999999987</v>
      </c>
      <c r="E53" s="257">
        <v>639861.94817407103</v>
      </c>
      <c r="F53" s="257">
        <v>697567.15597707068</v>
      </c>
      <c r="G53" s="257">
        <v>705407.76745619124</v>
      </c>
      <c r="H53" s="257">
        <v>672839.63236045814</v>
      </c>
      <c r="I53" s="257">
        <v>498397.91187933675</v>
      </c>
      <c r="J53" s="257">
        <v>407829.02888808766</v>
      </c>
      <c r="K53" s="460">
        <f t="shared" si="126"/>
        <v>3839843.6147352154</v>
      </c>
      <c r="L53" s="465">
        <v>0</v>
      </c>
      <c r="M53" s="257">
        <v>0</v>
      </c>
      <c r="N53" s="257">
        <v>0</v>
      </c>
      <c r="O53" s="257">
        <v>0</v>
      </c>
      <c r="P53" s="257">
        <v>0</v>
      </c>
      <c r="Q53" s="257">
        <v>0</v>
      </c>
      <c r="R53" s="257">
        <v>0</v>
      </c>
      <c r="S53" s="257">
        <v>0</v>
      </c>
      <c r="T53" s="462">
        <f t="shared" si="127"/>
        <v>0</v>
      </c>
      <c r="U53" s="463">
        <f t="shared" si="128"/>
        <v>3839843.6147352154</v>
      </c>
      <c r="V53" s="343">
        <v>31</v>
      </c>
      <c r="W53" s="257">
        <v>49237.679999999949</v>
      </c>
      <c r="X53" s="257">
        <v>14194.059999999987</v>
      </c>
      <c r="Y53" s="257">
        <v>43779.165521962932</v>
      </c>
      <c r="Z53" s="257">
        <v>16500.660775813714</v>
      </c>
      <c r="AA53" s="257">
        <v>31095.583672269895</v>
      </c>
      <c r="AB53" s="257">
        <v>19619.606056800487</v>
      </c>
      <c r="AC53" s="257">
        <v>22548.674720265986</v>
      </c>
      <c r="AD53" s="257">
        <v>10927.21966290493</v>
      </c>
      <c r="AE53" s="460">
        <f t="shared" si="129"/>
        <v>207902.6504100179</v>
      </c>
      <c r="AF53" s="465">
        <v>0</v>
      </c>
      <c r="AG53" s="257">
        <v>0</v>
      </c>
      <c r="AH53" s="257">
        <v>0</v>
      </c>
      <c r="AI53" s="257">
        <v>0</v>
      </c>
      <c r="AJ53" s="257">
        <v>0</v>
      </c>
      <c r="AK53" s="257">
        <v>0</v>
      </c>
      <c r="AL53" s="257">
        <v>0</v>
      </c>
      <c r="AM53" s="257">
        <v>0</v>
      </c>
      <c r="AN53" s="462">
        <f t="shared" si="130"/>
        <v>0</v>
      </c>
      <c r="AO53" s="463">
        <f t="shared" si="131"/>
        <v>207902.6504100179</v>
      </c>
      <c r="AP53" s="343">
        <v>31</v>
      </c>
      <c r="AQ53" s="257">
        <v>5677124.7899999935</v>
      </c>
      <c r="AR53" s="257">
        <v>8080258.0899999896</v>
      </c>
      <c r="AS53" s="257">
        <v>4997842.8213727595</v>
      </c>
      <c r="AT53" s="257">
        <v>8305860.0088281995</v>
      </c>
      <c r="AU53" s="257">
        <v>5987197.4004728636</v>
      </c>
      <c r="AV53" s="257">
        <v>9107137.8885961026</v>
      </c>
      <c r="AW53" s="257">
        <v>6840435.7586916946</v>
      </c>
      <c r="AX53" s="257">
        <v>9722286.2303105351</v>
      </c>
      <c r="AY53" s="460">
        <f t="shared" si="132"/>
        <v>58718142.988272138</v>
      </c>
      <c r="AZ53" s="465">
        <v>0</v>
      </c>
      <c r="BA53" s="257">
        <v>0</v>
      </c>
      <c r="BB53" s="257">
        <v>0</v>
      </c>
      <c r="BC53" s="257">
        <v>0</v>
      </c>
      <c r="BD53" s="257">
        <v>0</v>
      </c>
      <c r="BE53" s="257">
        <v>0</v>
      </c>
      <c r="BF53" s="257">
        <v>0</v>
      </c>
      <c r="BG53" s="257">
        <v>14341.166159665911</v>
      </c>
      <c r="BH53" s="462">
        <f t="shared" si="133"/>
        <v>14341.166159665911</v>
      </c>
      <c r="BI53" s="463">
        <f t="shared" si="134"/>
        <v>58732484.154431805</v>
      </c>
      <c r="BJ53" s="343">
        <v>31</v>
      </c>
      <c r="BK53" s="257">
        <v>0</v>
      </c>
      <c r="BL53" s="257">
        <v>10104.719999999988</v>
      </c>
      <c r="BM53" s="257">
        <v>653.82818464676973</v>
      </c>
      <c r="BN53" s="257">
        <v>5202.0624984762999</v>
      </c>
      <c r="BO53" s="257">
        <v>0</v>
      </c>
      <c r="BP53" s="257">
        <v>6903.7432469942241</v>
      </c>
      <c r="BQ53" s="257">
        <v>0</v>
      </c>
      <c r="BR53" s="257">
        <v>3691.1669854700194</v>
      </c>
      <c r="BS53" s="460">
        <f t="shared" si="135"/>
        <v>26555.520915587302</v>
      </c>
      <c r="BT53" s="465">
        <v>0</v>
      </c>
      <c r="BU53" s="257">
        <v>0</v>
      </c>
      <c r="BV53" s="257">
        <v>0</v>
      </c>
      <c r="BW53" s="257">
        <v>0</v>
      </c>
      <c r="BX53" s="257">
        <v>0</v>
      </c>
      <c r="BY53" s="257">
        <v>0</v>
      </c>
      <c r="BZ53" s="257">
        <v>0</v>
      </c>
      <c r="CA53" s="257">
        <v>0</v>
      </c>
      <c r="CB53" s="462">
        <f t="shared" si="136"/>
        <v>0</v>
      </c>
      <c r="CC53" s="463">
        <f t="shared" si="137"/>
        <v>26555.520915587302</v>
      </c>
      <c r="CD53" s="343">
        <v>31</v>
      </c>
      <c r="CE53" s="462">
        <f t="shared" si="99"/>
        <v>14048859.509999985</v>
      </c>
      <c r="CF53" s="462">
        <f t="shared" si="100"/>
        <v>14707267.651333002</v>
      </c>
      <c r="CG53" s="462">
        <f t="shared" si="101"/>
        <v>16530201.621861681</v>
      </c>
      <c r="CH53" s="462">
        <f t="shared" si="102"/>
        <v>17506115.991138298</v>
      </c>
      <c r="CI53" s="464">
        <f t="shared" si="103"/>
        <v>62792444.774332963</v>
      </c>
      <c r="CJ53" s="462">
        <f t="shared" si="104"/>
        <v>0</v>
      </c>
      <c r="CK53" s="462">
        <f t="shared" si="105"/>
        <v>0</v>
      </c>
      <c r="CL53" s="462">
        <f t="shared" si="106"/>
        <v>0</v>
      </c>
      <c r="CM53" s="462">
        <f t="shared" si="107"/>
        <v>14341.166159665911</v>
      </c>
      <c r="CN53" s="464">
        <f t="shared" si="108"/>
        <v>14341.166159665911</v>
      </c>
      <c r="CO53" s="462">
        <f t="shared" si="109"/>
        <v>14048859.509999985</v>
      </c>
      <c r="CP53" s="462">
        <f t="shared" si="110"/>
        <v>14707267.651333002</v>
      </c>
      <c r="CQ53" s="462">
        <f t="shared" si="111"/>
        <v>16530201.621861681</v>
      </c>
      <c r="CR53" s="462">
        <f t="shared" si="112"/>
        <v>17520457.157297965</v>
      </c>
      <c r="CS53" s="464">
        <f t="shared" si="113"/>
        <v>62806785.94049263</v>
      </c>
    </row>
    <row r="54" spans="1:97" ht="15.75" customHeight="1" x14ac:dyDescent="0.25">
      <c r="A54" s="94" t="s">
        <v>453</v>
      </c>
      <c r="B54" s="343">
        <v>32</v>
      </c>
      <c r="C54" s="257">
        <v>0</v>
      </c>
      <c r="D54" s="257">
        <v>0</v>
      </c>
      <c r="E54" s="257">
        <v>0</v>
      </c>
      <c r="F54" s="257">
        <v>0</v>
      </c>
      <c r="G54" s="257">
        <v>0</v>
      </c>
      <c r="H54" s="257">
        <v>0</v>
      </c>
      <c r="I54" s="257">
        <v>0</v>
      </c>
      <c r="J54" s="257">
        <v>0</v>
      </c>
      <c r="K54" s="460">
        <f t="shared" si="126"/>
        <v>0</v>
      </c>
      <c r="L54" s="465">
        <v>0</v>
      </c>
      <c r="M54" s="257">
        <v>0</v>
      </c>
      <c r="N54" s="257">
        <v>0</v>
      </c>
      <c r="O54" s="257">
        <v>0</v>
      </c>
      <c r="P54" s="257">
        <v>0</v>
      </c>
      <c r="Q54" s="257">
        <v>0</v>
      </c>
      <c r="R54" s="257">
        <v>0</v>
      </c>
      <c r="S54" s="257">
        <v>0</v>
      </c>
      <c r="T54" s="462">
        <f t="shared" si="127"/>
        <v>0</v>
      </c>
      <c r="U54" s="463">
        <f t="shared" si="128"/>
        <v>0</v>
      </c>
      <c r="V54" s="343">
        <v>32</v>
      </c>
      <c r="W54" s="257">
        <v>0</v>
      </c>
      <c r="X54" s="257">
        <v>0</v>
      </c>
      <c r="Y54" s="257">
        <v>0</v>
      </c>
      <c r="Z54" s="257">
        <v>0</v>
      </c>
      <c r="AA54" s="257">
        <v>0</v>
      </c>
      <c r="AB54" s="257">
        <v>0</v>
      </c>
      <c r="AC54" s="257">
        <v>0</v>
      </c>
      <c r="AD54" s="257">
        <v>0</v>
      </c>
      <c r="AE54" s="460">
        <f t="shared" si="129"/>
        <v>0</v>
      </c>
      <c r="AF54" s="465">
        <v>0</v>
      </c>
      <c r="AG54" s="257">
        <v>0</v>
      </c>
      <c r="AH54" s="257">
        <v>0</v>
      </c>
      <c r="AI54" s="257">
        <v>0</v>
      </c>
      <c r="AJ54" s="257">
        <v>0</v>
      </c>
      <c r="AK54" s="257">
        <v>0</v>
      </c>
      <c r="AL54" s="257">
        <v>0</v>
      </c>
      <c r="AM54" s="257">
        <v>0</v>
      </c>
      <c r="AN54" s="462">
        <f t="shared" si="130"/>
        <v>0</v>
      </c>
      <c r="AO54" s="463">
        <f t="shared" si="131"/>
        <v>0</v>
      </c>
      <c r="AP54" s="343">
        <v>32</v>
      </c>
      <c r="AQ54" s="257">
        <v>0</v>
      </c>
      <c r="AR54" s="257">
        <v>0</v>
      </c>
      <c r="AS54" s="257">
        <v>0</v>
      </c>
      <c r="AT54" s="257">
        <v>0</v>
      </c>
      <c r="AU54" s="257">
        <v>0</v>
      </c>
      <c r="AV54" s="257">
        <v>0</v>
      </c>
      <c r="AW54" s="257">
        <v>0</v>
      </c>
      <c r="AX54" s="257">
        <v>0</v>
      </c>
      <c r="AY54" s="460">
        <f t="shared" si="132"/>
        <v>0</v>
      </c>
      <c r="AZ54" s="465">
        <v>0</v>
      </c>
      <c r="BA54" s="257">
        <v>0</v>
      </c>
      <c r="BB54" s="257">
        <v>0</v>
      </c>
      <c r="BC54" s="257">
        <v>0</v>
      </c>
      <c r="BD54" s="257">
        <v>0</v>
      </c>
      <c r="BE54" s="257">
        <v>0</v>
      </c>
      <c r="BF54" s="257">
        <v>0</v>
      </c>
      <c r="BG54" s="257">
        <v>0</v>
      </c>
      <c r="BH54" s="462">
        <f t="shared" si="133"/>
        <v>0</v>
      </c>
      <c r="BI54" s="463">
        <f t="shared" si="134"/>
        <v>0</v>
      </c>
      <c r="BJ54" s="343">
        <v>32</v>
      </c>
      <c r="BK54" s="257">
        <v>0</v>
      </c>
      <c r="BL54" s="257">
        <v>0</v>
      </c>
      <c r="BM54" s="257">
        <v>0</v>
      </c>
      <c r="BN54" s="257">
        <v>0</v>
      </c>
      <c r="BO54" s="257">
        <v>0</v>
      </c>
      <c r="BP54" s="257">
        <v>0</v>
      </c>
      <c r="BQ54" s="257">
        <v>0</v>
      </c>
      <c r="BR54" s="257">
        <v>0</v>
      </c>
      <c r="BS54" s="460">
        <f t="shared" si="135"/>
        <v>0</v>
      </c>
      <c r="BT54" s="465">
        <v>0</v>
      </c>
      <c r="BU54" s="257">
        <v>0</v>
      </c>
      <c r="BV54" s="257">
        <v>0</v>
      </c>
      <c r="BW54" s="257">
        <v>0</v>
      </c>
      <c r="BX54" s="257">
        <v>0</v>
      </c>
      <c r="BY54" s="257">
        <v>0</v>
      </c>
      <c r="BZ54" s="257">
        <v>0</v>
      </c>
      <c r="CA54" s="257">
        <v>0</v>
      </c>
      <c r="CB54" s="462">
        <f t="shared" si="136"/>
        <v>0</v>
      </c>
      <c r="CC54" s="463">
        <f t="shared" si="137"/>
        <v>0</v>
      </c>
      <c r="CD54" s="343">
        <v>32</v>
      </c>
      <c r="CE54" s="462">
        <f t="shared" si="99"/>
        <v>0</v>
      </c>
      <c r="CF54" s="462">
        <f t="shared" si="100"/>
        <v>0</v>
      </c>
      <c r="CG54" s="462">
        <f t="shared" si="101"/>
        <v>0</v>
      </c>
      <c r="CH54" s="462">
        <f t="shared" si="102"/>
        <v>0</v>
      </c>
      <c r="CI54" s="464">
        <f t="shared" si="103"/>
        <v>0</v>
      </c>
      <c r="CJ54" s="462">
        <f t="shared" si="104"/>
        <v>0</v>
      </c>
      <c r="CK54" s="462">
        <f t="shared" si="105"/>
        <v>0</v>
      </c>
      <c r="CL54" s="462">
        <f t="shared" si="106"/>
        <v>0</v>
      </c>
      <c r="CM54" s="462">
        <f t="shared" si="107"/>
        <v>0</v>
      </c>
      <c r="CN54" s="464">
        <f t="shared" si="108"/>
        <v>0</v>
      </c>
      <c r="CO54" s="462">
        <f t="shared" si="109"/>
        <v>0</v>
      </c>
      <c r="CP54" s="462">
        <f t="shared" si="110"/>
        <v>0</v>
      </c>
      <c r="CQ54" s="462">
        <f t="shared" si="111"/>
        <v>0</v>
      </c>
      <c r="CR54" s="462">
        <f t="shared" si="112"/>
        <v>0</v>
      </c>
      <c r="CS54" s="464">
        <f t="shared" si="113"/>
        <v>0</v>
      </c>
    </row>
    <row r="55" spans="1:97" ht="15.75" customHeight="1" x14ac:dyDescent="0.25">
      <c r="A55" s="94" t="s">
        <v>1459</v>
      </c>
      <c r="B55" s="343">
        <v>33</v>
      </c>
      <c r="C55" s="257">
        <v>41569.339999999953</v>
      </c>
      <c r="D55" s="257">
        <v>379987.78999999963</v>
      </c>
      <c r="E55" s="257">
        <v>109123.62998688278</v>
      </c>
      <c r="F55" s="257">
        <v>914520.89105524693</v>
      </c>
      <c r="G55" s="257">
        <v>114060.08516721954</v>
      </c>
      <c r="H55" s="257">
        <v>791049.27741664229</v>
      </c>
      <c r="I55" s="257">
        <v>112427.49488815032</v>
      </c>
      <c r="J55" s="257">
        <v>661800.63196810195</v>
      </c>
      <c r="K55" s="460">
        <f t="shared" si="87"/>
        <v>3124539.1404822436</v>
      </c>
      <c r="L55" s="465">
        <v>0</v>
      </c>
      <c r="M55" s="257">
        <v>42281.430000000168</v>
      </c>
      <c r="N55" s="257">
        <v>0</v>
      </c>
      <c r="O55" s="257">
        <v>224833.03979080546</v>
      </c>
      <c r="P55" s="257">
        <v>0</v>
      </c>
      <c r="Q55" s="257">
        <v>170011.57672805453</v>
      </c>
      <c r="R55" s="257">
        <v>0</v>
      </c>
      <c r="S55" s="257">
        <v>137427.43137848462</v>
      </c>
      <c r="T55" s="462">
        <f t="shared" si="88"/>
        <v>574553.47789734474</v>
      </c>
      <c r="U55" s="463">
        <f t="shared" si="89"/>
        <v>3699092.6183795882</v>
      </c>
      <c r="V55" s="343">
        <v>33</v>
      </c>
      <c r="W55" s="257">
        <v>8167.2099999999937</v>
      </c>
      <c r="X55" s="257">
        <v>120765.22999999981</v>
      </c>
      <c r="Y55" s="257">
        <v>6309.4379814241429</v>
      </c>
      <c r="Z55" s="257">
        <v>102327.33123305302</v>
      </c>
      <c r="AA55" s="257">
        <v>6965.0365540087278</v>
      </c>
      <c r="AB55" s="257">
        <v>96060.340751083713</v>
      </c>
      <c r="AC55" s="257">
        <v>2001.5270532728175</v>
      </c>
      <c r="AD55" s="257">
        <v>97210.580566322373</v>
      </c>
      <c r="AE55" s="460">
        <f t="shared" si="90"/>
        <v>439806.69413916458</v>
      </c>
      <c r="AF55" s="465">
        <v>0</v>
      </c>
      <c r="AG55" s="257">
        <v>21917.700000000084</v>
      </c>
      <c r="AH55" s="257">
        <v>0</v>
      </c>
      <c r="AI55" s="257">
        <v>14025.909212030308</v>
      </c>
      <c r="AJ55" s="257">
        <v>0</v>
      </c>
      <c r="AK55" s="257">
        <v>13171.127890992866</v>
      </c>
      <c r="AL55" s="257">
        <v>0</v>
      </c>
      <c r="AM55" s="257">
        <v>18299.094757226932</v>
      </c>
      <c r="AN55" s="462">
        <f t="shared" si="91"/>
        <v>67413.831860250197</v>
      </c>
      <c r="AO55" s="463">
        <f t="shared" si="92"/>
        <v>507220.52599941479</v>
      </c>
      <c r="AP55" s="343">
        <v>33</v>
      </c>
      <c r="AQ55" s="257">
        <v>668317.04999999935</v>
      </c>
      <c r="AR55" s="257">
        <v>4236069.7499999953</v>
      </c>
      <c r="AS55" s="257">
        <v>655767.56689576549</v>
      </c>
      <c r="AT55" s="257">
        <v>4012589.2439404256</v>
      </c>
      <c r="AU55" s="257">
        <v>699017.9627305516</v>
      </c>
      <c r="AV55" s="257">
        <v>4339712.765918606</v>
      </c>
      <c r="AW55" s="257">
        <v>749038.36545113439</v>
      </c>
      <c r="AX55" s="257">
        <v>4720831.820741836</v>
      </c>
      <c r="AY55" s="460">
        <f t="shared" si="93"/>
        <v>20081344.525678314</v>
      </c>
      <c r="AZ55" s="465">
        <v>0</v>
      </c>
      <c r="BA55" s="257">
        <v>954517.81999999366</v>
      </c>
      <c r="BB55" s="257">
        <v>0</v>
      </c>
      <c r="BC55" s="257">
        <v>951068.85224959126</v>
      </c>
      <c r="BD55" s="257">
        <v>0</v>
      </c>
      <c r="BE55" s="257">
        <v>999646.33814794361</v>
      </c>
      <c r="BF55" s="257">
        <v>0</v>
      </c>
      <c r="BG55" s="257">
        <v>1108582.8713129007</v>
      </c>
      <c r="BH55" s="462">
        <f t="shared" si="94"/>
        <v>4013815.8817104287</v>
      </c>
      <c r="BI55" s="463">
        <f t="shared" si="95"/>
        <v>24095160.407388743</v>
      </c>
      <c r="BJ55" s="343">
        <v>33</v>
      </c>
      <c r="BK55" s="257">
        <v>4391.9899999999952</v>
      </c>
      <c r="BL55" s="257">
        <v>37622.439999999959</v>
      </c>
      <c r="BM55" s="257">
        <v>4525.1219035456543</v>
      </c>
      <c r="BN55" s="257">
        <v>22179.49299434754</v>
      </c>
      <c r="BO55" s="257">
        <v>2627.6413680370815</v>
      </c>
      <c r="BP55" s="257">
        <v>28418.4850842778</v>
      </c>
      <c r="BQ55" s="257">
        <v>4534.1469985332624</v>
      </c>
      <c r="BR55" s="257">
        <v>20838.704815186295</v>
      </c>
      <c r="BS55" s="460">
        <f t="shared" si="96"/>
        <v>125138.02316392759</v>
      </c>
      <c r="BT55" s="465">
        <v>0</v>
      </c>
      <c r="BU55" s="257">
        <v>16167.469999999992</v>
      </c>
      <c r="BV55" s="257">
        <v>0</v>
      </c>
      <c r="BW55" s="257">
        <v>14664.12412791793</v>
      </c>
      <c r="BX55" s="257">
        <v>0</v>
      </c>
      <c r="BY55" s="257">
        <v>7909.0962927788314</v>
      </c>
      <c r="BZ55" s="257">
        <v>0</v>
      </c>
      <c r="CA55" s="257">
        <v>11482.591012189361</v>
      </c>
      <c r="CB55" s="462">
        <f t="shared" si="97"/>
        <v>50223.28143288612</v>
      </c>
      <c r="CC55" s="463">
        <f t="shared" si="98"/>
        <v>175361.30459681372</v>
      </c>
      <c r="CD55" s="343">
        <v>33</v>
      </c>
      <c r="CE55" s="462">
        <f t="shared" si="99"/>
        <v>5496890.7999999942</v>
      </c>
      <c r="CF55" s="462">
        <f t="shared" si="100"/>
        <v>5827342.7159906905</v>
      </c>
      <c r="CG55" s="462">
        <f t="shared" si="101"/>
        <v>6077911.5949904267</v>
      </c>
      <c r="CH55" s="462">
        <f t="shared" si="102"/>
        <v>6368683.2724825377</v>
      </c>
      <c r="CI55" s="464">
        <f t="shared" si="103"/>
        <v>23770828.383463647</v>
      </c>
      <c r="CJ55" s="462">
        <f t="shared" si="104"/>
        <v>1034884.4199999939</v>
      </c>
      <c r="CK55" s="462">
        <f t="shared" si="105"/>
        <v>1204591.925380345</v>
      </c>
      <c r="CL55" s="462">
        <f t="shared" si="106"/>
        <v>1190738.1390597699</v>
      </c>
      <c r="CM55" s="462">
        <f t="shared" si="107"/>
        <v>1275791.9884608015</v>
      </c>
      <c r="CN55" s="464">
        <f t="shared" si="108"/>
        <v>4706006.4729009094</v>
      </c>
      <c r="CO55" s="462">
        <f t="shared" si="109"/>
        <v>6531775.2199999886</v>
      </c>
      <c r="CP55" s="462">
        <f t="shared" si="110"/>
        <v>7031934.6413710359</v>
      </c>
      <c r="CQ55" s="462">
        <f t="shared" si="111"/>
        <v>7268649.7340501966</v>
      </c>
      <c r="CR55" s="462">
        <f t="shared" si="112"/>
        <v>7644475.2609433383</v>
      </c>
      <c r="CS55" s="464">
        <f t="shared" si="113"/>
        <v>28476834.856364563</v>
      </c>
    </row>
    <row r="56" spans="1:97" ht="15.75" customHeight="1" x14ac:dyDescent="0.25">
      <c r="A56" s="94" t="s">
        <v>285</v>
      </c>
      <c r="B56" s="343">
        <v>34</v>
      </c>
      <c r="C56" s="257">
        <v>20273.629999999979</v>
      </c>
      <c r="D56" s="257">
        <v>92086.139999999912</v>
      </c>
      <c r="E56" s="257">
        <v>54728.187343626363</v>
      </c>
      <c r="F56" s="257">
        <v>181463.20393866292</v>
      </c>
      <c r="G56" s="257">
        <v>57460.737964756794</v>
      </c>
      <c r="H56" s="257">
        <v>174870.29557927183</v>
      </c>
      <c r="I56" s="257">
        <v>46558.59389102854</v>
      </c>
      <c r="J56" s="257">
        <v>139047.87507739593</v>
      </c>
      <c r="K56" s="460">
        <f t="shared" si="87"/>
        <v>766488.66379474232</v>
      </c>
      <c r="L56" s="465">
        <v>0</v>
      </c>
      <c r="M56" s="257">
        <v>38841.630000000005</v>
      </c>
      <c r="N56" s="257">
        <v>0</v>
      </c>
      <c r="O56" s="257">
        <v>153534.428651986</v>
      </c>
      <c r="P56" s="257">
        <v>0</v>
      </c>
      <c r="Q56" s="257">
        <v>130176.67349569773</v>
      </c>
      <c r="R56" s="257">
        <v>0</v>
      </c>
      <c r="S56" s="257">
        <v>83168.008315389496</v>
      </c>
      <c r="T56" s="462">
        <f t="shared" si="88"/>
        <v>405720.74046307325</v>
      </c>
      <c r="U56" s="463">
        <f t="shared" si="89"/>
        <v>1172209.4042578156</v>
      </c>
      <c r="V56" s="343">
        <v>34</v>
      </c>
      <c r="W56" s="257">
        <v>8556.6299999999901</v>
      </c>
      <c r="X56" s="257">
        <v>21413.479999999981</v>
      </c>
      <c r="Y56" s="257">
        <v>4037.8810915075064</v>
      </c>
      <c r="Z56" s="257">
        <v>16081.817096588822</v>
      </c>
      <c r="AA56" s="257">
        <v>3015.1079946698569</v>
      </c>
      <c r="AB56" s="257">
        <v>16591.620559627663</v>
      </c>
      <c r="AC56" s="257">
        <v>3189.1212209094547</v>
      </c>
      <c r="AD56" s="257">
        <v>22548.282599127306</v>
      </c>
      <c r="AE56" s="460">
        <f t="shared" si="90"/>
        <v>95433.940562430595</v>
      </c>
      <c r="AF56" s="465">
        <v>0</v>
      </c>
      <c r="AG56" s="257">
        <v>18041.449999999997</v>
      </c>
      <c r="AH56" s="257">
        <v>0</v>
      </c>
      <c r="AI56" s="257">
        <v>8457.5308491231299</v>
      </c>
      <c r="AJ56" s="257">
        <v>0</v>
      </c>
      <c r="AK56" s="257">
        <v>6933.7547630122663</v>
      </c>
      <c r="AL56" s="257">
        <v>0</v>
      </c>
      <c r="AM56" s="257">
        <v>7734.7075972551547</v>
      </c>
      <c r="AN56" s="462">
        <f t="shared" si="91"/>
        <v>41167.443209390549</v>
      </c>
      <c r="AO56" s="463">
        <f t="shared" si="92"/>
        <v>136601.38377182116</v>
      </c>
      <c r="AP56" s="343">
        <v>34</v>
      </c>
      <c r="AQ56" s="257">
        <v>285436.08999999973</v>
      </c>
      <c r="AR56" s="257">
        <v>785886.95999999915</v>
      </c>
      <c r="AS56" s="257">
        <v>246125.00721207805</v>
      </c>
      <c r="AT56" s="257">
        <v>746285.0365342492</v>
      </c>
      <c r="AU56" s="257">
        <v>297735.32802164892</v>
      </c>
      <c r="AV56" s="257">
        <v>839270.38730830187</v>
      </c>
      <c r="AW56" s="257">
        <v>391488.77799342625</v>
      </c>
      <c r="AX56" s="257">
        <v>897148.90406821971</v>
      </c>
      <c r="AY56" s="460">
        <f t="shared" si="93"/>
        <v>4489376.4911379227</v>
      </c>
      <c r="AZ56" s="465">
        <v>0</v>
      </c>
      <c r="BA56" s="257">
        <v>398933.7200000002</v>
      </c>
      <c r="BB56" s="257">
        <v>0</v>
      </c>
      <c r="BC56" s="257">
        <v>399842.80050062569</v>
      </c>
      <c r="BD56" s="257">
        <v>0</v>
      </c>
      <c r="BE56" s="257">
        <v>426634.03699238232</v>
      </c>
      <c r="BF56" s="257">
        <v>0</v>
      </c>
      <c r="BG56" s="257">
        <v>486264.77426991443</v>
      </c>
      <c r="BH56" s="462">
        <f t="shared" si="94"/>
        <v>1711675.3317629227</v>
      </c>
      <c r="BI56" s="463">
        <f t="shared" si="95"/>
        <v>6201051.8229008457</v>
      </c>
      <c r="BJ56" s="343">
        <v>34</v>
      </c>
      <c r="BK56" s="257">
        <v>23661.549999999974</v>
      </c>
      <c r="BL56" s="257">
        <v>35296.689999999959</v>
      </c>
      <c r="BM56" s="257">
        <v>12256.948219116921</v>
      </c>
      <c r="BN56" s="257">
        <v>21227.813748223321</v>
      </c>
      <c r="BO56" s="257">
        <v>22144.497772284747</v>
      </c>
      <c r="BP56" s="257">
        <v>20024.836827632535</v>
      </c>
      <c r="BQ56" s="257">
        <v>22429.158208073019</v>
      </c>
      <c r="BR56" s="257">
        <v>20114.024733347273</v>
      </c>
      <c r="BS56" s="460">
        <f t="shared" si="96"/>
        <v>177155.51950867777</v>
      </c>
      <c r="BT56" s="465">
        <v>0</v>
      </c>
      <c r="BU56" s="257">
        <v>75129.110000000044</v>
      </c>
      <c r="BV56" s="257">
        <v>0</v>
      </c>
      <c r="BW56" s="257">
        <v>45950.773521476352</v>
      </c>
      <c r="BX56" s="257">
        <v>0</v>
      </c>
      <c r="BY56" s="257">
        <v>49133.984330171574</v>
      </c>
      <c r="BZ56" s="257">
        <v>0</v>
      </c>
      <c r="CA56" s="257">
        <v>40388.654834749083</v>
      </c>
      <c r="CB56" s="462">
        <f t="shared" si="97"/>
        <v>210602.52268639705</v>
      </c>
      <c r="CC56" s="463">
        <f t="shared" si="98"/>
        <v>387758.04219507484</v>
      </c>
      <c r="CD56" s="343">
        <v>34</v>
      </c>
      <c r="CE56" s="462">
        <f t="shared" si="99"/>
        <v>1272611.1699999988</v>
      </c>
      <c r="CF56" s="462">
        <f t="shared" si="100"/>
        <v>1282205.8951840531</v>
      </c>
      <c r="CG56" s="462">
        <f t="shared" si="101"/>
        <v>1431112.8120281943</v>
      </c>
      <c r="CH56" s="462">
        <f t="shared" si="102"/>
        <v>1542524.7377915275</v>
      </c>
      <c r="CI56" s="464">
        <f t="shared" si="103"/>
        <v>5528454.615003773</v>
      </c>
      <c r="CJ56" s="462">
        <f t="shared" si="104"/>
        <v>530945.91000000027</v>
      </c>
      <c r="CK56" s="462">
        <f t="shared" si="105"/>
        <v>607785.53352321114</v>
      </c>
      <c r="CL56" s="462">
        <f t="shared" si="106"/>
        <v>612878.44958126394</v>
      </c>
      <c r="CM56" s="462">
        <f t="shared" si="107"/>
        <v>617556.14501730818</v>
      </c>
      <c r="CN56" s="464">
        <f t="shared" si="108"/>
        <v>2369166.0381217836</v>
      </c>
      <c r="CO56" s="462">
        <f t="shared" si="109"/>
        <v>1803557.0799999991</v>
      </c>
      <c r="CP56" s="462">
        <f t="shared" si="110"/>
        <v>1889991.4287072646</v>
      </c>
      <c r="CQ56" s="462">
        <f t="shared" si="111"/>
        <v>2043991.2616094579</v>
      </c>
      <c r="CR56" s="462">
        <f t="shared" si="112"/>
        <v>2160080.8828088357</v>
      </c>
      <c r="CS56" s="464">
        <f t="shared" si="113"/>
        <v>7897620.6531255571</v>
      </c>
    </row>
    <row r="57" spans="1:97" ht="15.75" customHeight="1" x14ac:dyDescent="0.25">
      <c r="A57" s="94" t="s">
        <v>240</v>
      </c>
      <c r="B57" s="343">
        <v>35</v>
      </c>
      <c r="C57" s="257">
        <v>18675.029999999995</v>
      </c>
      <c r="D57" s="257">
        <v>42159.079999999936</v>
      </c>
      <c r="E57" s="257">
        <v>32526.402024517771</v>
      </c>
      <c r="F57" s="257">
        <v>58862.01844130583</v>
      </c>
      <c r="G57" s="257">
        <v>28508.096880466794</v>
      </c>
      <c r="H57" s="257">
        <v>69154.932170074258</v>
      </c>
      <c r="I57" s="257">
        <v>27705.630739686021</v>
      </c>
      <c r="J57" s="257">
        <v>47993.375191858089</v>
      </c>
      <c r="K57" s="460">
        <f t="shared" si="87"/>
        <v>325584.56544790871</v>
      </c>
      <c r="L57" s="465">
        <v>0</v>
      </c>
      <c r="M57" s="257">
        <v>32391.500000000076</v>
      </c>
      <c r="N57" s="257">
        <v>0</v>
      </c>
      <c r="O57" s="257">
        <v>105788.75260096802</v>
      </c>
      <c r="P57" s="257">
        <v>0</v>
      </c>
      <c r="Q57" s="257">
        <v>96416.889058244706</v>
      </c>
      <c r="R57" s="257">
        <v>0</v>
      </c>
      <c r="S57" s="257">
        <v>64464.234171449345</v>
      </c>
      <c r="T57" s="462">
        <f t="shared" si="88"/>
        <v>299061.37583066215</v>
      </c>
      <c r="U57" s="463">
        <f t="shared" si="89"/>
        <v>624645.9412785708</v>
      </c>
      <c r="V57" s="343">
        <v>35</v>
      </c>
      <c r="W57" s="257">
        <v>1345.3099999999986</v>
      </c>
      <c r="X57" s="257">
        <v>9754.0799999999927</v>
      </c>
      <c r="Y57" s="257">
        <v>225.5435208662804</v>
      </c>
      <c r="Z57" s="257">
        <v>3722.1281631290826</v>
      </c>
      <c r="AA57" s="257">
        <v>2194.3524618914203</v>
      </c>
      <c r="AB57" s="257">
        <v>4854.1475317457835</v>
      </c>
      <c r="AC57" s="257">
        <v>3914.9575573881712</v>
      </c>
      <c r="AD57" s="257">
        <v>4891.2386488273178</v>
      </c>
      <c r="AE57" s="460">
        <f t="shared" si="90"/>
        <v>30901.757883848048</v>
      </c>
      <c r="AF57" s="465">
        <v>0</v>
      </c>
      <c r="AG57" s="257">
        <v>14613.219999999983</v>
      </c>
      <c r="AH57" s="257">
        <v>0</v>
      </c>
      <c r="AI57" s="257">
        <v>7820.8968867295243</v>
      </c>
      <c r="AJ57" s="257">
        <v>0</v>
      </c>
      <c r="AK57" s="257">
        <v>10256.678567542089</v>
      </c>
      <c r="AL57" s="257">
        <v>0</v>
      </c>
      <c r="AM57" s="257">
        <v>8739.225032153734</v>
      </c>
      <c r="AN57" s="462">
        <f t="shared" si="91"/>
        <v>41430.020486425332</v>
      </c>
      <c r="AO57" s="463">
        <f t="shared" si="92"/>
        <v>72331.778370273387</v>
      </c>
      <c r="AP57" s="343">
        <v>35</v>
      </c>
      <c r="AQ57" s="257">
        <v>155866.51999999981</v>
      </c>
      <c r="AR57" s="257">
        <v>559587.79999999946</v>
      </c>
      <c r="AS57" s="257">
        <v>107533.98421024867</v>
      </c>
      <c r="AT57" s="257">
        <v>264472.05053838884</v>
      </c>
      <c r="AU57" s="257">
        <v>155911.43758052582</v>
      </c>
      <c r="AV57" s="257">
        <v>359166.79281378404</v>
      </c>
      <c r="AW57" s="257">
        <v>122710.47962897523</v>
      </c>
      <c r="AX57" s="257">
        <v>365121.49691761826</v>
      </c>
      <c r="AY57" s="460">
        <f t="shared" si="93"/>
        <v>2090370.56168954</v>
      </c>
      <c r="AZ57" s="465">
        <v>0</v>
      </c>
      <c r="BA57" s="257">
        <v>533835.90999999898</v>
      </c>
      <c r="BB57" s="257">
        <v>0</v>
      </c>
      <c r="BC57" s="257">
        <v>458845.93607491802</v>
      </c>
      <c r="BD57" s="257">
        <v>0</v>
      </c>
      <c r="BE57" s="257">
        <v>519698.87350084144</v>
      </c>
      <c r="BF57" s="257">
        <v>0</v>
      </c>
      <c r="BG57" s="257">
        <v>566518.50401212543</v>
      </c>
      <c r="BH57" s="462">
        <f t="shared" si="94"/>
        <v>2078899.2235878841</v>
      </c>
      <c r="BI57" s="463">
        <f t="shared" si="95"/>
        <v>4169269.7852774244</v>
      </c>
      <c r="BJ57" s="343">
        <v>35</v>
      </c>
      <c r="BK57" s="257">
        <v>590.56999999999948</v>
      </c>
      <c r="BL57" s="257">
        <v>10014.249999999989</v>
      </c>
      <c r="BM57" s="257">
        <v>595.64211669714132</v>
      </c>
      <c r="BN57" s="257">
        <v>4431.9021821021197</v>
      </c>
      <c r="BO57" s="257">
        <v>9695.4476018186997</v>
      </c>
      <c r="BP57" s="257">
        <v>8403.9923158097808</v>
      </c>
      <c r="BQ57" s="257">
        <v>2313.3337392430622</v>
      </c>
      <c r="BR57" s="257">
        <v>7951.6536467551805</v>
      </c>
      <c r="BS57" s="460">
        <f t="shared" si="96"/>
        <v>43996.791602425968</v>
      </c>
      <c r="BT57" s="465">
        <v>0</v>
      </c>
      <c r="BU57" s="257">
        <v>10913.490000000005</v>
      </c>
      <c r="BV57" s="257">
        <v>0</v>
      </c>
      <c r="BW57" s="257">
        <v>16275.315859038437</v>
      </c>
      <c r="BX57" s="257">
        <v>0</v>
      </c>
      <c r="BY57" s="257">
        <v>20436.743720392678</v>
      </c>
      <c r="BZ57" s="257">
        <v>0</v>
      </c>
      <c r="CA57" s="257">
        <v>21091.073902549142</v>
      </c>
      <c r="CB57" s="462">
        <f t="shared" si="97"/>
        <v>68716.623481980263</v>
      </c>
      <c r="CC57" s="463">
        <f t="shared" si="98"/>
        <v>112713.41508440624</v>
      </c>
      <c r="CD57" s="343">
        <v>35</v>
      </c>
      <c r="CE57" s="462">
        <f t="shared" si="99"/>
        <v>797992.63999999908</v>
      </c>
      <c r="CF57" s="462">
        <f t="shared" si="100"/>
        <v>472369.67119725578</v>
      </c>
      <c r="CG57" s="462">
        <f t="shared" si="101"/>
        <v>637889.1993561167</v>
      </c>
      <c r="CH57" s="462">
        <f t="shared" si="102"/>
        <v>582602.16607035138</v>
      </c>
      <c r="CI57" s="464">
        <f t="shared" si="103"/>
        <v>2490853.6766237225</v>
      </c>
      <c r="CJ57" s="462">
        <f t="shared" si="104"/>
        <v>591754.11999999906</v>
      </c>
      <c r="CK57" s="462">
        <f t="shared" si="105"/>
        <v>588730.90142165392</v>
      </c>
      <c r="CL57" s="462">
        <f t="shared" si="106"/>
        <v>646809.18484702089</v>
      </c>
      <c r="CM57" s="462">
        <f t="shared" si="107"/>
        <v>660813.03711827763</v>
      </c>
      <c r="CN57" s="464">
        <f t="shared" si="108"/>
        <v>2488107.2433869517</v>
      </c>
      <c r="CO57" s="462">
        <f t="shared" si="109"/>
        <v>1389746.7599999984</v>
      </c>
      <c r="CP57" s="462">
        <f t="shared" si="110"/>
        <v>1061100.5726189096</v>
      </c>
      <c r="CQ57" s="462">
        <f t="shared" si="111"/>
        <v>1284698.3842031374</v>
      </c>
      <c r="CR57" s="462">
        <f t="shared" si="112"/>
        <v>1243415.2031886291</v>
      </c>
      <c r="CS57" s="464">
        <f t="shared" si="113"/>
        <v>4978960.9200106747</v>
      </c>
    </row>
    <row r="58" spans="1:97" ht="15.75" customHeight="1" x14ac:dyDescent="0.25">
      <c r="A58" s="94" t="s">
        <v>230</v>
      </c>
      <c r="B58" s="343">
        <v>36</v>
      </c>
      <c r="C58" s="257">
        <v>0</v>
      </c>
      <c r="D58" s="257">
        <v>0</v>
      </c>
      <c r="E58" s="257">
        <v>18232.881420906091</v>
      </c>
      <c r="F58" s="257">
        <v>0</v>
      </c>
      <c r="G58" s="257">
        <v>30720.183445727376</v>
      </c>
      <c r="H58" s="257">
        <v>0</v>
      </c>
      <c r="I58" s="257">
        <v>5679.2312129813854</v>
      </c>
      <c r="J58" s="257">
        <v>0</v>
      </c>
      <c r="K58" s="460">
        <f t="shared" si="87"/>
        <v>54632.296079614855</v>
      </c>
      <c r="L58" s="465">
        <v>0</v>
      </c>
      <c r="M58" s="257">
        <v>0</v>
      </c>
      <c r="N58" s="257">
        <v>0</v>
      </c>
      <c r="O58" s="257">
        <v>769.34400157987614</v>
      </c>
      <c r="P58" s="257">
        <v>0</v>
      </c>
      <c r="Q58" s="257">
        <v>330.52700195262878</v>
      </c>
      <c r="R58" s="257">
        <v>0</v>
      </c>
      <c r="S58" s="257">
        <v>553.90768413653086</v>
      </c>
      <c r="T58" s="462">
        <f t="shared" si="88"/>
        <v>1653.7786876690357</v>
      </c>
      <c r="U58" s="463">
        <f t="shared" si="89"/>
        <v>56286.074767283892</v>
      </c>
      <c r="V58" s="343">
        <v>36</v>
      </c>
      <c r="W58" s="257">
        <v>0</v>
      </c>
      <c r="X58" s="257">
        <v>0</v>
      </c>
      <c r="Y58" s="257">
        <v>0</v>
      </c>
      <c r="Z58" s="257">
        <v>0</v>
      </c>
      <c r="AA58" s="257">
        <v>0</v>
      </c>
      <c r="AB58" s="257">
        <v>0</v>
      </c>
      <c r="AC58" s="257">
        <v>0</v>
      </c>
      <c r="AD58" s="257">
        <v>0</v>
      </c>
      <c r="AE58" s="460">
        <f t="shared" si="90"/>
        <v>0</v>
      </c>
      <c r="AF58" s="465">
        <v>0</v>
      </c>
      <c r="AG58" s="257">
        <v>0</v>
      </c>
      <c r="AH58" s="257">
        <v>0</v>
      </c>
      <c r="AI58" s="257">
        <v>0</v>
      </c>
      <c r="AJ58" s="257">
        <v>0</v>
      </c>
      <c r="AK58" s="257">
        <v>0</v>
      </c>
      <c r="AL58" s="257">
        <v>0</v>
      </c>
      <c r="AM58" s="257">
        <v>0</v>
      </c>
      <c r="AN58" s="462">
        <f t="shared" si="91"/>
        <v>0</v>
      </c>
      <c r="AO58" s="463">
        <f t="shared" si="92"/>
        <v>0</v>
      </c>
      <c r="AP58" s="343">
        <v>36</v>
      </c>
      <c r="AQ58" s="257">
        <v>32128.999999999967</v>
      </c>
      <c r="AR58" s="257">
        <v>0</v>
      </c>
      <c r="AS58" s="257">
        <v>13891.328660917578</v>
      </c>
      <c r="AT58" s="257">
        <v>0</v>
      </c>
      <c r="AU58" s="257">
        <v>27839.47812492595</v>
      </c>
      <c r="AV58" s="257">
        <v>0</v>
      </c>
      <c r="AW58" s="257">
        <v>17389.798312705214</v>
      </c>
      <c r="AX58" s="257">
        <v>11085.717038038263</v>
      </c>
      <c r="AY58" s="460">
        <f t="shared" si="93"/>
        <v>102335.32213658697</v>
      </c>
      <c r="AZ58" s="465">
        <v>0</v>
      </c>
      <c r="BA58" s="257">
        <v>14287</v>
      </c>
      <c r="BB58" s="257">
        <v>0</v>
      </c>
      <c r="BC58" s="257">
        <v>2198.1257187996457</v>
      </c>
      <c r="BD58" s="257">
        <v>0</v>
      </c>
      <c r="BE58" s="257">
        <v>5729.1347005122343</v>
      </c>
      <c r="BF58" s="257">
        <v>0</v>
      </c>
      <c r="BG58" s="257">
        <v>2530.5472247012431</v>
      </c>
      <c r="BH58" s="462">
        <f t="shared" si="94"/>
        <v>24744.807644013123</v>
      </c>
      <c r="BI58" s="463">
        <f t="shared" si="95"/>
        <v>127080.12978060009</v>
      </c>
      <c r="BJ58" s="343">
        <v>36</v>
      </c>
      <c r="BK58" s="257">
        <v>963.67999999999893</v>
      </c>
      <c r="BL58" s="257">
        <v>0</v>
      </c>
      <c r="BM58" s="257">
        <v>0</v>
      </c>
      <c r="BN58" s="257">
        <v>0</v>
      </c>
      <c r="BO58" s="257">
        <v>0</v>
      </c>
      <c r="BP58" s="257">
        <v>0</v>
      </c>
      <c r="BQ58" s="257">
        <v>0</v>
      </c>
      <c r="BR58" s="257">
        <v>0</v>
      </c>
      <c r="BS58" s="460">
        <f t="shared" si="96"/>
        <v>963.67999999999893</v>
      </c>
      <c r="BT58" s="465">
        <v>0</v>
      </c>
      <c r="BU58" s="257">
        <v>0</v>
      </c>
      <c r="BV58" s="257">
        <v>0</v>
      </c>
      <c r="BW58" s="257">
        <v>0</v>
      </c>
      <c r="BX58" s="257">
        <v>0</v>
      </c>
      <c r="BY58" s="257">
        <v>0</v>
      </c>
      <c r="BZ58" s="257">
        <v>0</v>
      </c>
      <c r="CA58" s="257">
        <v>0</v>
      </c>
      <c r="CB58" s="462">
        <f t="shared" si="97"/>
        <v>0</v>
      </c>
      <c r="CC58" s="463">
        <f t="shared" si="98"/>
        <v>963.67999999999893</v>
      </c>
      <c r="CD58" s="343">
        <v>36</v>
      </c>
      <c r="CE58" s="462">
        <f t="shared" si="99"/>
        <v>33092.679999999964</v>
      </c>
      <c r="CF58" s="462">
        <f t="shared" si="100"/>
        <v>32124.210081823669</v>
      </c>
      <c r="CG58" s="462">
        <f t="shared" si="101"/>
        <v>58559.661570653327</v>
      </c>
      <c r="CH58" s="462">
        <f t="shared" si="102"/>
        <v>34154.746563724868</v>
      </c>
      <c r="CI58" s="464">
        <f t="shared" si="103"/>
        <v>157931.29821620183</v>
      </c>
      <c r="CJ58" s="462">
        <f t="shared" si="104"/>
        <v>14287</v>
      </c>
      <c r="CK58" s="462">
        <f t="shared" si="105"/>
        <v>2967.4697203795217</v>
      </c>
      <c r="CL58" s="462">
        <f t="shared" si="106"/>
        <v>6059.6617024648631</v>
      </c>
      <c r="CM58" s="462">
        <f t="shared" si="107"/>
        <v>3084.4549088377739</v>
      </c>
      <c r="CN58" s="464">
        <f t="shared" si="108"/>
        <v>26398.58633168216</v>
      </c>
      <c r="CO58" s="462">
        <f t="shared" si="109"/>
        <v>47379.679999999971</v>
      </c>
      <c r="CP58" s="462">
        <f t="shared" si="110"/>
        <v>35091.679802203194</v>
      </c>
      <c r="CQ58" s="462">
        <f t="shared" si="111"/>
        <v>64619.323273118192</v>
      </c>
      <c r="CR58" s="462">
        <f t="shared" si="112"/>
        <v>37239.201472562643</v>
      </c>
      <c r="CS58" s="464">
        <f t="shared" si="113"/>
        <v>184329.88454788399</v>
      </c>
    </row>
    <row r="59" spans="1:97" ht="15.75" customHeight="1" x14ac:dyDescent="0.25">
      <c r="A59" s="94" t="s">
        <v>341</v>
      </c>
      <c r="B59" s="343">
        <v>37</v>
      </c>
      <c r="C59" s="257">
        <v>732.4999999999992</v>
      </c>
      <c r="D59" s="257">
        <v>1884.499999999998</v>
      </c>
      <c r="E59" s="257">
        <v>2162.7555435391869</v>
      </c>
      <c r="F59" s="257">
        <v>3509.3759762104773</v>
      </c>
      <c r="G59" s="257">
        <v>3380.7950194799655</v>
      </c>
      <c r="H59" s="257">
        <v>4106.0006853196028</v>
      </c>
      <c r="I59" s="257">
        <v>4578.5069591453057</v>
      </c>
      <c r="J59" s="257">
        <v>3568.764863871872</v>
      </c>
      <c r="K59" s="460">
        <f t="shared" si="87"/>
        <v>23923.199047566406</v>
      </c>
      <c r="L59" s="465">
        <v>0</v>
      </c>
      <c r="M59" s="257">
        <v>1119.8000000000002</v>
      </c>
      <c r="N59" s="257">
        <v>0</v>
      </c>
      <c r="O59" s="257">
        <v>2528.2648300800329</v>
      </c>
      <c r="P59" s="257">
        <v>0</v>
      </c>
      <c r="Q59" s="257">
        <v>3968.2599214461384</v>
      </c>
      <c r="R59" s="257">
        <v>0</v>
      </c>
      <c r="S59" s="257">
        <v>3931.4636710641012</v>
      </c>
      <c r="T59" s="462">
        <f t="shared" si="88"/>
        <v>11547.788422590273</v>
      </c>
      <c r="U59" s="463">
        <f t="shared" si="89"/>
        <v>35470.987470156681</v>
      </c>
      <c r="V59" s="343">
        <v>37</v>
      </c>
      <c r="W59" s="257">
        <v>0</v>
      </c>
      <c r="X59" s="257">
        <v>201.9999999999998</v>
      </c>
      <c r="Y59" s="257">
        <v>0</v>
      </c>
      <c r="Z59" s="257">
        <v>202.02106782098551</v>
      </c>
      <c r="AA59" s="257">
        <v>160.21776053456387</v>
      </c>
      <c r="AB59" s="257">
        <v>404.54984534977376</v>
      </c>
      <c r="AC59" s="257">
        <v>82.94870241372756</v>
      </c>
      <c r="AD59" s="257">
        <v>64.348084296709871</v>
      </c>
      <c r="AE59" s="460">
        <f t="shared" si="90"/>
        <v>1116.0854604157603</v>
      </c>
      <c r="AF59" s="465">
        <v>0</v>
      </c>
      <c r="AG59" s="257">
        <v>156.81</v>
      </c>
      <c r="AH59" s="257">
        <v>0</v>
      </c>
      <c r="AI59" s="257">
        <v>149.21999656072066</v>
      </c>
      <c r="AJ59" s="257">
        <v>0</v>
      </c>
      <c r="AK59" s="257">
        <v>368.35224243464398</v>
      </c>
      <c r="AL59" s="257">
        <v>0</v>
      </c>
      <c r="AM59" s="257">
        <v>652.1325008846311</v>
      </c>
      <c r="AN59" s="462">
        <f t="shared" si="91"/>
        <v>1326.5147398799957</v>
      </c>
      <c r="AO59" s="463">
        <f t="shared" si="92"/>
        <v>2442.6002002957557</v>
      </c>
      <c r="AP59" s="343">
        <v>37</v>
      </c>
      <c r="AQ59" s="257">
        <v>10328.429999999989</v>
      </c>
      <c r="AR59" s="257">
        <v>11384.52999999999</v>
      </c>
      <c r="AS59" s="257">
        <v>8070.8416698779856</v>
      </c>
      <c r="AT59" s="257">
        <v>11240.362204172981</v>
      </c>
      <c r="AU59" s="257">
        <v>12911.6188723494</v>
      </c>
      <c r="AV59" s="257">
        <v>16433.595779690419</v>
      </c>
      <c r="AW59" s="257">
        <v>20930.823119612302</v>
      </c>
      <c r="AX59" s="257">
        <v>14706.201674663615</v>
      </c>
      <c r="AY59" s="460">
        <f t="shared" si="93"/>
        <v>106006.40332036666</v>
      </c>
      <c r="AZ59" s="465">
        <v>0</v>
      </c>
      <c r="BA59" s="257">
        <v>9574.6600000000017</v>
      </c>
      <c r="BB59" s="257">
        <v>0</v>
      </c>
      <c r="BC59" s="257">
        <v>12052.529040253377</v>
      </c>
      <c r="BD59" s="257">
        <v>0</v>
      </c>
      <c r="BE59" s="257">
        <v>26413.884008525671</v>
      </c>
      <c r="BF59" s="257">
        <v>0</v>
      </c>
      <c r="BG59" s="257">
        <v>31789.923867417263</v>
      </c>
      <c r="BH59" s="462">
        <f t="shared" si="94"/>
        <v>79830.996916196309</v>
      </c>
      <c r="BI59" s="463">
        <f t="shared" si="95"/>
        <v>185837.40023656297</v>
      </c>
      <c r="BJ59" s="343">
        <v>37</v>
      </c>
      <c r="BK59" s="257">
        <v>0</v>
      </c>
      <c r="BL59" s="257">
        <v>0</v>
      </c>
      <c r="BM59" s="257">
        <v>0</v>
      </c>
      <c r="BN59" s="257">
        <v>0</v>
      </c>
      <c r="BO59" s="257">
        <v>0</v>
      </c>
      <c r="BP59" s="257">
        <v>0</v>
      </c>
      <c r="BQ59" s="257">
        <v>0</v>
      </c>
      <c r="BR59" s="257">
        <v>0</v>
      </c>
      <c r="BS59" s="460">
        <f t="shared" si="96"/>
        <v>0</v>
      </c>
      <c r="BT59" s="465">
        <v>0</v>
      </c>
      <c r="BU59" s="257">
        <v>0</v>
      </c>
      <c r="BV59" s="257">
        <v>0</v>
      </c>
      <c r="BW59" s="257">
        <v>0</v>
      </c>
      <c r="BX59" s="257">
        <v>0</v>
      </c>
      <c r="BY59" s="257">
        <v>0</v>
      </c>
      <c r="BZ59" s="257">
        <v>0</v>
      </c>
      <c r="CA59" s="257">
        <v>0</v>
      </c>
      <c r="CB59" s="462">
        <f t="shared" si="97"/>
        <v>0</v>
      </c>
      <c r="CC59" s="463">
        <f t="shared" si="98"/>
        <v>0</v>
      </c>
      <c r="CD59" s="343">
        <v>37</v>
      </c>
      <c r="CE59" s="462">
        <f t="shared" si="99"/>
        <v>24531.959999999977</v>
      </c>
      <c r="CF59" s="462">
        <f t="shared" si="100"/>
        <v>25185.356461621617</v>
      </c>
      <c r="CG59" s="462">
        <f t="shared" si="101"/>
        <v>37396.777962723725</v>
      </c>
      <c r="CH59" s="462">
        <f t="shared" si="102"/>
        <v>43931.593404003528</v>
      </c>
      <c r="CI59" s="464">
        <f t="shared" si="103"/>
        <v>131045.68782834883</v>
      </c>
      <c r="CJ59" s="462">
        <f t="shared" si="104"/>
        <v>10851.270000000002</v>
      </c>
      <c r="CK59" s="462">
        <f t="shared" si="105"/>
        <v>14730.013866894131</v>
      </c>
      <c r="CL59" s="462">
        <f t="shared" si="106"/>
        <v>30750.496172406452</v>
      </c>
      <c r="CM59" s="462">
        <f t="shared" si="107"/>
        <v>36373.520039365998</v>
      </c>
      <c r="CN59" s="464">
        <f t="shared" si="108"/>
        <v>92705.30007866658</v>
      </c>
      <c r="CO59" s="462">
        <f t="shared" si="109"/>
        <v>35383.229999999981</v>
      </c>
      <c r="CP59" s="462">
        <f t="shared" si="110"/>
        <v>39915.370328515753</v>
      </c>
      <c r="CQ59" s="462">
        <f t="shared" si="111"/>
        <v>68147.274135130181</v>
      </c>
      <c r="CR59" s="462">
        <f t="shared" si="112"/>
        <v>80305.113443369526</v>
      </c>
      <c r="CS59" s="464">
        <f t="shared" si="113"/>
        <v>223750.98790701543</v>
      </c>
    </row>
    <row r="60" spans="1:97" ht="15.75" customHeight="1" x14ac:dyDescent="0.25">
      <c r="A60" s="724" t="s">
        <v>1508</v>
      </c>
      <c r="B60" s="725">
        <v>38</v>
      </c>
      <c r="C60" s="468">
        <v>93130.446186083413</v>
      </c>
      <c r="D60" s="468">
        <v>389138.42037089623</v>
      </c>
      <c r="E60" s="468">
        <v>140987.19687534249</v>
      </c>
      <c r="F60" s="468">
        <v>555244.11409020773</v>
      </c>
      <c r="G60" s="468">
        <v>145412.52927752206</v>
      </c>
      <c r="H60" s="468">
        <v>536247.20249121357</v>
      </c>
      <c r="I60" s="468">
        <v>130205.0833109064</v>
      </c>
      <c r="J60" s="468">
        <v>492560.42362968292</v>
      </c>
      <c r="K60" s="460">
        <f>SUM(C60:J60)</f>
        <v>2482925.4162318548</v>
      </c>
      <c r="L60" s="469">
        <v>0</v>
      </c>
      <c r="M60" s="468">
        <v>0</v>
      </c>
      <c r="N60" s="468">
        <v>0</v>
      </c>
      <c r="O60" s="468">
        <v>0</v>
      </c>
      <c r="P60" s="468">
        <v>0</v>
      </c>
      <c r="Q60" s="468">
        <v>0</v>
      </c>
      <c r="R60" s="468">
        <v>0</v>
      </c>
      <c r="S60" s="468">
        <v>0</v>
      </c>
      <c r="T60" s="462">
        <f>SUM(L60:S60)</f>
        <v>0</v>
      </c>
      <c r="U60" s="463">
        <f>SUM(T60,K60)</f>
        <v>2482925.4162318548</v>
      </c>
      <c r="V60" s="725">
        <v>38</v>
      </c>
      <c r="W60" s="468">
        <v>4946.3473493023548</v>
      </c>
      <c r="X60" s="468">
        <v>76591.09723685366</v>
      </c>
      <c r="Y60" s="468">
        <v>3171.3336589488481</v>
      </c>
      <c r="Z60" s="468">
        <v>63736.071584728074</v>
      </c>
      <c r="AA60" s="468">
        <v>3475.8306437821993</v>
      </c>
      <c r="AB60" s="468">
        <v>65761.452450394034</v>
      </c>
      <c r="AC60" s="468">
        <v>4234.7694508736013</v>
      </c>
      <c r="AD60" s="468">
        <v>69681.206418920163</v>
      </c>
      <c r="AE60" s="460">
        <f>SUM(W60:AD60)</f>
        <v>291598.10879380291</v>
      </c>
      <c r="AF60" s="469">
        <v>0</v>
      </c>
      <c r="AG60" s="468">
        <v>0</v>
      </c>
      <c r="AH60" s="468">
        <v>0</v>
      </c>
      <c r="AI60" s="468">
        <v>0</v>
      </c>
      <c r="AJ60" s="468">
        <v>0</v>
      </c>
      <c r="AK60" s="468">
        <v>0</v>
      </c>
      <c r="AL60" s="468">
        <v>0</v>
      </c>
      <c r="AM60" s="468">
        <v>0</v>
      </c>
      <c r="AN60" s="462">
        <f>SUM(AF60:AM60)</f>
        <v>0</v>
      </c>
      <c r="AO60" s="463">
        <f>SUM(AN60,AE60)</f>
        <v>291598.10879380291</v>
      </c>
      <c r="AP60" s="725">
        <v>38</v>
      </c>
      <c r="AQ60" s="468">
        <v>312857.97133811878</v>
      </c>
      <c r="AR60" s="468">
        <v>1248303.0388610226</v>
      </c>
      <c r="AS60" s="468">
        <v>295226.81711446232</v>
      </c>
      <c r="AT60" s="468">
        <v>1179938.0312530459</v>
      </c>
      <c r="AU60" s="468">
        <v>322173.01068179461</v>
      </c>
      <c r="AV60" s="468">
        <v>1263315.6716716553</v>
      </c>
      <c r="AW60" s="468">
        <v>364232.0294086847</v>
      </c>
      <c r="AX60" s="468">
        <v>1371384.6300960078</v>
      </c>
      <c r="AY60" s="460">
        <f>SUM(AQ60:AX60)</f>
        <v>6357431.2004247922</v>
      </c>
      <c r="AZ60" s="469">
        <v>0</v>
      </c>
      <c r="BA60" s="468">
        <v>0</v>
      </c>
      <c r="BB60" s="468">
        <v>0</v>
      </c>
      <c r="BC60" s="468">
        <v>0</v>
      </c>
      <c r="BD60" s="468">
        <v>0</v>
      </c>
      <c r="BE60" s="468">
        <v>0</v>
      </c>
      <c r="BF60" s="468">
        <v>0</v>
      </c>
      <c r="BG60" s="468">
        <v>0</v>
      </c>
      <c r="BH60" s="462">
        <f>SUM(AZ60:BG60)</f>
        <v>0</v>
      </c>
      <c r="BI60" s="463">
        <f>SUM(BH60,AY60)</f>
        <v>6357431.2004247922</v>
      </c>
      <c r="BJ60" s="725">
        <v>38</v>
      </c>
      <c r="BK60" s="468">
        <v>2373.5278725823632</v>
      </c>
      <c r="BL60" s="468">
        <v>42843.109532572795</v>
      </c>
      <c r="BM60" s="468">
        <v>2243.1384416955266</v>
      </c>
      <c r="BN60" s="468">
        <v>38311.004968092602</v>
      </c>
      <c r="BO60" s="468">
        <v>2935.1458769716355</v>
      </c>
      <c r="BP60" s="468">
        <v>40908.461084914343</v>
      </c>
      <c r="BQ60" s="468">
        <v>3849.7904098850918</v>
      </c>
      <c r="BR60" s="468">
        <v>43984.697731991328</v>
      </c>
      <c r="BS60" s="460">
        <f>SUM(BK60:BR60)</f>
        <v>177448.87591870569</v>
      </c>
      <c r="BT60" s="469">
        <v>0</v>
      </c>
      <c r="BU60" s="468">
        <v>0</v>
      </c>
      <c r="BV60" s="468">
        <v>0</v>
      </c>
      <c r="BW60" s="468">
        <v>0</v>
      </c>
      <c r="BX60" s="468">
        <v>0</v>
      </c>
      <c r="BY60" s="468">
        <v>0</v>
      </c>
      <c r="BZ60" s="468">
        <v>0</v>
      </c>
      <c r="CA60" s="468">
        <v>0</v>
      </c>
      <c r="CB60" s="462">
        <f>SUM(BT60:CA60)</f>
        <v>0</v>
      </c>
      <c r="CC60" s="463">
        <f>SUM(CB60,BS60)</f>
        <v>177448.87591870569</v>
      </c>
      <c r="CD60" s="725">
        <v>38</v>
      </c>
      <c r="CE60" s="462">
        <f t="shared" si="99"/>
        <v>2170183.9587474321</v>
      </c>
      <c r="CF60" s="462">
        <f t="shared" si="100"/>
        <v>2278857.7079865239</v>
      </c>
      <c r="CG60" s="462">
        <f t="shared" si="101"/>
        <v>2380229.3041782477</v>
      </c>
      <c r="CH60" s="462">
        <f t="shared" si="102"/>
        <v>2480132.6304569519</v>
      </c>
      <c r="CI60" s="464">
        <f t="shared" si="103"/>
        <v>9309403.6013691556</v>
      </c>
      <c r="CJ60" s="462">
        <f t="shared" si="104"/>
        <v>0</v>
      </c>
      <c r="CK60" s="462">
        <f t="shared" si="105"/>
        <v>0</v>
      </c>
      <c r="CL60" s="462">
        <f t="shared" si="106"/>
        <v>0</v>
      </c>
      <c r="CM60" s="462">
        <f t="shared" si="107"/>
        <v>0</v>
      </c>
      <c r="CN60" s="464">
        <f t="shared" si="108"/>
        <v>0</v>
      </c>
      <c r="CO60" s="462">
        <f t="shared" si="109"/>
        <v>2170183.9587474321</v>
      </c>
      <c r="CP60" s="462">
        <f t="shared" si="110"/>
        <v>2278857.7079865239</v>
      </c>
      <c r="CQ60" s="462">
        <f t="shared" si="111"/>
        <v>2380229.3041782477</v>
      </c>
      <c r="CR60" s="462">
        <f t="shared" si="112"/>
        <v>2480132.6304569519</v>
      </c>
      <c r="CS60" s="464">
        <f t="shared" si="113"/>
        <v>9309403.6013691556</v>
      </c>
    </row>
    <row r="61" spans="1:97" ht="15.75" customHeight="1" x14ac:dyDescent="0.25">
      <c r="A61" s="94" t="s">
        <v>286</v>
      </c>
      <c r="B61" s="725">
        <v>39</v>
      </c>
      <c r="C61" s="257">
        <v>35025.31</v>
      </c>
      <c r="D61" s="257">
        <v>151824.66</v>
      </c>
      <c r="E61" s="257">
        <v>53950.45</v>
      </c>
      <c r="F61" s="257">
        <v>218868.09</v>
      </c>
      <c r="G61" s="257">
        <v>56900.94</v>
      </c>
      <c r="H61" s="257">
        <v>213608.38</v>
      </c>
      <c r="I61" s="257">
        <v>40466.68</v>
      </c>
      <c r="J61" s="257">
        <v>157200.63999999998</v>
      </c>
      <c r="K61" s="460">
        <f t="shared" si="87"/>
        <v>927845.15000000014</v>
      </c>
      <c r="L61" s="465">
        <v>0</v>
      </c>
      <c r="M61" s="257">
        <v>702144.47000000009</v>
      </c>
      <c r="N61" s="257">
        <v>0</v>
      </c>
      <c r="O61" s="257">
        <v>1063057.1100000001</v>
      </c>
      <c r="P61" s="257">
        <v>0</v>
      </c>
      <c r="Q61" s="257">
        <v>1024843.6499999999</v>
      </c>
      <c r="R61" s="257">
        <v>0</v>
      </c>
      <c r="S61" s="257">
        <v>971527.38447890407</v>
      </c>
      <c r="T61" s="462">
        <f t="shared" si="88"/>
        <v>3761572.6144789038</v>
      </c>
      <c r="U61" s="463">
        <f t="shared" si="89"/>
        <v>4689417.7644789042</v>
      </c>
      <c r="V61" s="725">
        <v>39</v>
      </c>
      <c r="W61" s="257">
        <v>1698.91</v>
      </c>
      <c r="X61" s="257">
        <v>28117.9</v>
      </c>
      <c r="Y61" s="257">
        <v>1138.1099999999999</v>
      </c>
      <c r="Z61" s="257">
        <v>24561.29</v>
      </c>
      <c r="AA61" s="257">
        <v>1265.45</v>
      </c>
      <c r="AB61" s="257">
        <v>25570.839850177825</v>
      </c>
      <c r="AC61" s="257">
        <v>1204.2</v>
      </c>
      <c r="AD61" s="257">
        <v>22254.780000000002</v>
      </c>
      <c r="AE61" s="460">
        <f t="shared" si="90"/>
        <v>105811.47985017783</v>
      </c>
      <c r="AF61" s="465">
        <v>0</v>
      </c>
      <c r="AG61" s="257">
        <v>137010.94</v>
      </c>
      <c r="AH61" s="257">
        <v>0</v>
      </c>
      <c r="AI61" s="257">
        <v>121644.06</v>
      </c>
      <c r="AJ61" s="257">
        <v>0</v>
      </c>
      <c r="AK61" s="257">
        <v>125368.51791475082</v>
      </c>
      <c r="AL61" s="257">
        <v>0</v>
      </c>
      <c r="AM61" s="257">
        <v>136130.07</v>
      </c>
      <c r="AN61" s="462">
        <f t="shared" si="91"/>
        <v>520153.58791475085</v>
      </c>
      <c r="AO61" s="463">
        <f t="shared" si="92"/>
        <v>625965.06776492868</v>
      </c>
      <c r="AP61" s="725">
        <v>39</v>
      </c>
      <c r="AQ61" s="257">
        <v>115261.84</v>
      </c>
      <c r="AR61" s="257">
        <v>503048.23</v>
      </c>
      <c r="AS61" s="257">
        <v>113941.52</v>
      </c>
      <c r="AT61" s="257">
        <v>497027.81</v>
      </c>
      <c r="AU61" s="257">
        <v>125369.96</v>
      </c>
      <c r="AV61" s="257">
        <v>536329.93000000005</v>
      </c>
      <c r="AW61" s="257">
        <v>112444.37871514364</v>
      </c>
      <c r="AX61" s="257">
        <v>469172.98505764944</v>
      </c>
      <c r="AY61" s="460">
        <f t="shared" si="93"/>
        <v>2472596.6537727928</v>
      </c>
      <c r="AZ61" s="465">
        <v>0</v>
      </c>
      <c r="BA61" s="257">
        <v>2262115.65</v>
      </c>
      <c r="BB61" s="257">
        <v>0</v>
      </c>
      <c r="BC61" s="257">
        <v>2279695.9899999998</v>
      </c>
      <c r="BD61" s="257">
        <v>0</v>
      </c>
      <c r="BE61" s="257">
        <v>2435787.2199999997</v>
      </c>
      <c r="BF61" s="257">
        <v>0</v>
      </c>
      <c r="BG61" s="257">
        <v>2706530.5516686249</v>
      </c>
      <c r="BH61" s="462">
        <f t="shared" si="94"/>
        <v>9684129.4116686247</v>
      </c>
      <c r="BI61" s="463">
        <f t="shared" si="95"/>
        <v>12156726.065441418</v>
      </c>
      <c r="BJ61" s="725">
        <v>39</v>
      </c>
      <c r="BK61" s="257">
        <v>892.24</v>
      </c>
      <c r="BL61" s="257">
        <v>19760.77</v>
      </c>
      <c r="BM61" s="257">
        <v>866.81</v>
      </c>
      <c r="BN61" s="257">
        <v>19277.57</v>
      </c>
      <c r="BO61" s="257">
        <v>1133.47</v>
      </c>
      <c r="BP61" s="257">
        <v>22598.117404813649</v>
      </c>
      <c r="BQ61" s="257">
        <v>1189.27</v>
      </c>
      <c r="BR61" s="257">
        <v>18077.54</v>
      </c>
      <c r="BS61" s="460">
        <f t="shared" si="96"/>
        <v>83795.787404813658</v>
      </c>
      <c r="BT61" s="465">
        <v>0</v>
      </c>
      <c r="BU61" s="257">
        <v>79121.819999999992</v>
      </c>
      <c r="BV61" s="257">
        <v>0</v>
      </c>
      <c r="BW61" s="257">
        <v>76066.789999999994</v>
      </c>
      <c r="BX61" s="257">
        <v>0</v>
      </c>
      <c r="BY61" s="257">
        <v>80597.88</v>
      </c>
      <c r="BZ61" s="257">
        <v>0</v>
      </c>
      <c r="CA61" s="257">
        <v>88432.68</v>
      </c>
      <c r="CB61" s="462">
        <f t="shared" si="97"/>
        <v>324219.17</v>
      </c>
      <c r="CC61" s="463">
        <f t="shared" si="98"/>
        <v>408014.95740481361</v>
      </c>
      <c r="CD61" s="725">
        <v>39</v>
      </c>
      <c r="CE61" s="462">
        <f t="shared" si="99"/>
        <v>855629.86</v>
      </c>
      <c r="CF61" s="462">
        <f t="shared" si="100"/>
        <v>929631.65</v>
      </c>
      <c r="CG61" s="462">
        <f t="shared" si="101"/>
        <v>982777.08725499152</v>
      </c>
      <c r="CH61" s="462">
        <f t="shared" si="102"/>
        <v>822010.47377279308</v>
      </c>
      <c r="CI61" s="464">
        <f t="shared" si="103"/>
        <v>3590049.0710277846</v>
      </c>
      <c r="CJ61" s="462">
        <f t="shared" si="104"/>
        <v>3180392.88</v>
      </c>
      <c r="CK61" s="462">
        <f t="shared" si="105"/>
        <v>3540463.95</v>
      </c>
      <c r="CL61" s="462">
        <f t="shared" si="106"/>
        <v>3666597.2679147506</v>
      </c>
      <c r="CM61" s="462">
        <f t="shared" si="107"/>
        <v>3902620.6861475292</v>
      </c>
      <c r="CN61" s="464">
        <f t="shared" si="108"/>
        <v>14290074.784062279</v>
      </c>
      <c r="CO61" s="462">
        <f t="shared" si="109"/>
        <v>4036022.74</v>
      </c>
      <c r="CP61" s="462">
        <f t="shared" si="110"/>
        <v>4470095.5999999996</v>
      </c>
      <c r="CQ61" s="462">
        <f t="shared" si="111"/>
        <v>4649374.3551697424</v>
      </c>
      <c r="CR61" s="462">
        <f t="shared" si="112"/>
        <v>4724631.1599203208</v>
      </c>
      <c r="CS61" s="464">
        <f t="shared" si="113"/>
        <v>17880123.855090063</v>
      </c>
    </row>
    <row r="62" spans="1:97" ht="15.75" customHeight="1" x14ac:dyDescent="0.25">
      <c r="A62" s="94" t="s">
        <v>317</v>
      </c>
      <c r="B62" s="725">
        <v>40</v>
      </c>
      <c r="C62" s="257"/>
      <c r="D62" s="257"/>
      <c r="E62" s="257"/>
      <c r="F62" s="257"/>
      <c r="G62" s="257"/>
      <c r="H62" s="257"/>
      <c r="I62" s="257"/>
      <c r="J62" s="257"/>
      <c r="K62" s="460">
        <f t="shared" si="87"/>
        <v>0</v>
      </c>
      <c r="L62" s="465"/>
      <c r="M62" s="257"/>
      <c r="N62" s="257"/>
      <c r="O62" s="257"/>
      <c r="P62" s="257"/>
      <c r="Q62" s="257"/>
      <c r="R62" s="257"/>
      <c r="S62" s="257"/>
      <c r="T62" s="462">
        <f t="shared" si="88"/>
        <v>0</v>
      </c>
      <c r="U62" s="463">
        <f t="shared" si="89"/>
        <v>0</v>
      </c>
      <c r="V62" s="725">
        <v>40</v>
      </c>
      <c r="W62" s="257"/>
      <c r="X62" s="257"/>
      <c r="Y62" s="257"/>
      <c r="Z62" s="257"/>
      <c r="AA62" s="257"/>
      <c r="AB62" s="257"/>
      <c r="AC62" s="257"/>
      <c r="AD62" s="257"/>
      <c r="AE62" s="460">
        <f t="shared" si="90"/>
        <v>0</v>
      </c>
      <c r="AF62" s="465"/>
      <c r="AG62" s="257"/>
      <c r="AH62" s="257"/>
      <c r="AI62" s="257"/>
      <c r="AJ62" s="257"/>
      <c r="AK62" s="257"/>
      <c r="AL62" s="257"/>
      <c r="AM62" s="257"/>
      <c r="AN62" s="462">
        <f t="shared" si="91"/>
        <v>0</v>
      </c>
      <c r="AO62" s="463">
        <f t="shared" si="92"/>
        <v>0</v>
      </c>
      <c r="AP62" s="725">
        <v>40</v>
      </c>
      <c r="AQ62" s="257"/>
      <c r="AR62" s="257"/>
      <c r="AS62" s="257"/>
      <c r="AT62" s="257"/>
      <c r="AU62" s="257"/>
      <c r="AV62" s="257"/>
      <c r="AW62" s="257"/>
      <c r="AX62" s="257"/>
      <c r="AY62" s="460">
        <f t="shared" si="93"/>
        <v>0</v>
      </c>
      <c r="AZ62" s="465"/>
      <c r="BA62" s="257"/>
      <c r="BB62" s="257"/>
      <c r="BC62" s="257"/>
      <c r="BD62" s="257"/>
      <c r="BE62" s="257"/>
      <c r="BF62" s="257"/>
      <c r="BG62" s="257"/>
      <c r="BH62" s="462">
        <f t="shared" si="94"/>
        <v>0</v>
      </c>
      <c r="BI62" s="463">
        <f t="shared" si="95"/>
        <v>0</v>
      </c>
      <c r="BJ62" s="725">
        <v>40</v>
      </c>
      <c r="BK62" s="257"/>
      <c r="BL62" s="257"/>
      <c r="BM62" s="257"/>
      <c r="BN62" s="257"/>
      <c r="BO62" s="257"/>
      <c r="BP62" s="257"/>
      <c r="BQ62" s="257"/>
      <c r="BR62" s="257"/>
      <c r="BS62" s="460">
        <f t="shared" si="96"/>
        <v>0</v>
      </c>
      <c r="BT62" s="465"/>
      <c r="BU62" s="257"/>
      <c r="BV62" s="257"/>
      <c r="BW62" s="257"/>
      <c r="BX62" s="257"/>
      <c r="BY62" s="257"/>
      <c r="BZ62" s="257"/>
      <c r="CA62" s="257"/>
      <c r="CB62" s="462">
        <f t="shared" si="97"/>
        <v>0</v>
      </c>
      <c r="CC62" s="463">
        <f t="shared" si="98"/>
        <v>0</v>
      </c>
      <c r="CD62" s="725">
        <v>40</v>
      </c>
      <c r="CE62" s="462">
        <f t="shared" si="99"/>
        <v>0</v>
      </c>
      <c r="CF62" s="462">
        <f t="shared" si="100"/>
        <v>0</v>
      </c>
      <c r="CG62" s="462">
        <f t="shared" si="101"/>
        <v>0</v>
      </c>
      <c r="CH62" s="462">
        <f t="shared" si="102"/>
        <v>0</v>
      </c>
      <c r="CI62" s="464">
        <f t="shared" si="103"/>
        <v>0</v>
      </c>
      <c r="CJ62" s="462">
        <f t="shared" si="104"/>
        <v>0</v>
      </c>
      <c r="CK62" s="462">
        <f t="shared" si="105"/>
        <v>0</v>
      </c>
      <c r="CL62" s="462">
        <f t="shared" si="106"/>
        <v>0</v>
      </c>
      <c r="CM62" s="462">
        <f t="shared" si="107"/>
        <v>0</v>
      </c>
      <c r="CN62" s="464">
        <f t="shared" si="108"/>
        <v>0</v>
      </c>
      <c r="CO62" s="462">
        <f t="shared" si="109"/>
        <v>0</v>
      </c>
      <c r="CP62" s="462">
        <f t="shared" si="110"/>
        <v>0</v>
      </c>
      <c r="CQ62" s="462">
        <f t="shared" si="111"/>
        <v>0</v>
      </c>
      <c r="CR62" s="462">
        <f t="shared" si="112"/>
        <v>0</v>
      </c>
      <c r="CS62" s="464">
        <f t="shared" si="113"/>
        <v>0</v>
      </c>
    </row>
    <row r="63" spans="1:97" ht="15.75" customHeight="1" x14ac:dyDescent="0.25">
      <c r="A63" s="94" t="s">
        <v>242</v>
      </c>
      <c r="B63" s="725">
        <v>41</v>
      </c>
      <c r="C63" s="257"/>
      <c r="D63" s="257"/>
      <c r="E63" s="257"/>
      <c r="F63" s="257"/>
      <c r="G63" s="257"/>
      <c r="H63" s="257"/>
      <c r="I63" s="257"/>
      <c r="J63" s="257"/>
      <c r="K63" s="460">
        <f t="shared" si="87"/>
        <v>0</v>
      </c>
      <c r="L63" s="465"/>
      <c r="M63" s="257"/>
      <c r="N63" s="257"/>
      <c r="O63" s="257"/>
      <c r="P63" s="257"/>
      <c r="Q63" s="257"/>
      <c r="R63" s="257"/>
      <c r="S63" s="257"/>
      <c r="T63" s="462">
        <f t="shared" si="88"/>
        <v>0</v>
      </c>
      <c r="U63" s="463">
        <f t="shared" si="89"/>
        <v>0</v>
      </c>
      <c r="V63" s="725">
        <v>41</v>
      </c>
      <c r="W63" s="257"/>
      <c r="X63" s="257"/>
      <c r="Y63" s="257"/>
      <c r="Z63" s="257"/>
      <c r="AA63" s="257"/>
      <c r="AB63" s="257"/>
      <c r="AC63" s="257"/>
      <c r="AD63" s="257"/>
      <c r="AE63" s="460">
        <f t="shared" si="90"/>
        <v>0</v>
      </c>
      <c r="AF63" s="465"/>
      <c r="AG63" s="257"/>
      <c r="AH63" s="257"/>
      <c r="AI63" s="257"/>
      <c r="AJ63" s="257"/>
      <c r="AK63" s="257"/>
      <c r="AL63" s="257"/>
      <c r="AM63" s="257"/>
      <c r="AN63" s="462">
        <f t="shared" si="91"/>
        <v>0</v>
      </c>
      <c r="AO63" s="463">
        <f t="shared" si="92"/>
        <v>0</v>
      </c>
      <c r="AP63" s="725">
        <v>41</v>
      </c>
      <c r="AQ63" s="257"/>
      <c r="AR63" s="257"/>
      <c r="AS63" s="257"/>
      <c r="AT63" s="257"/>
      <c r="AU63" s="257"/>
      <c r="AV63" s="257"/>
      <c r="AW63" s="257"/>
      <c r="AX63" s="257"/>
      <c r="AY63" s="460">
        <f t="shared" si="93"/>
        <v>0</v>
      </c>
      <c r="AZ63" s="465"/>
      <c r="BA63" s="257"/>
      <c r="BB63" s="257"/>
      <c r="BC63" s="257"/>
      <c r="BD63" s="257"/>
      <c r="BE63" s="257"/>
      <c r="BF63" s="257"/>
      <c r="BG63" s="257"/>
      <c r="BH63" s="462">
        <f t="shared" si="94"/>
        <v>0</v>
      </c>
      <c r="BI63" s="463">
        <f t="shared" si="95"/>
        <v>0</v>
      </c>
      <c r="BJ63" s="725">
        <v>41</v>
      </c>
      <c r="BK63" s="257"/>
      <c r="BL63" s="257"/>
      <c r="BM63" s="257"/>
      <c r="BN63" s="257"/>
      <c r="BO63" s="257"/>
      <c r="BP63" s="257"/>
      <c r="BQ63" s="257"/>
      <c r="BR63" s="257"/>
      <c r="BS63" s="460">
        <f t="shared" si="96"/>
        <v>0</v>
      </c>
      <c r="BT63" s="465"/>
      <c r="BU63" s="257"/>
      <c r="BV63" s="257"/>
      <c r="BW63" s="257"/>
      <c r="BX63" s="257"/>
      <c r="BY63" s="257"/>
      <c r="BZ63" s="257"/>
      <c r="CA63" s="257"/>
      <c r="CB63" s="462">
        <f t="shared" si="97"/>
        <v>0</v>
      </c>
      <c r="CC63" s="463">
        <f t="shared" si="98"/>
        <v>0</v>
      </c>
      <c r="CD63" s="725">
        <v>41</v>
      </c>
      <c r="CE63" s="462">
        <f t="shared" si="99"/>
        <v>0</v>
      </c>
      <c r="CF63" s="462">
        <f t="shared" si="100"/>
        <v>0</v>
      </c>
      <c r="CG63" s="462">
        <f t="shared" si="101"/>
        <v>0</v>
      </c>
      <c r="CH63" s="462">
        <f t="shared" si="102"/>
        <v>0</v>
      </c>
      <c r="CI63" s="464">
        <f t="shared" si="103"/>
        <v>0</v>
      </c>
      <c r="CJ63" s="462">
        <f t="shared" si="104"/>
        <v>0</v>
      </c>
      <c r="CK63" s="462">
        <f t="shared" si="105"/>
        <v>0</v>
      </c>
      <c r="CL63" s="462">
        <f t="shared" si="106"/>
        <v>0</v>
      </c>
      <c r="CM63" s="462">
        <f t="shared" si="107"/>
        <v>0</v>
      </c>
      <c r="CN63" s="464">
        <f t="shared" si="108"/>
        <v>0</v>
      </c>
      <c r="CO63" s="462">
        <f t="shared" si="109"/>
        <v>0</v>
      </c>
      <c r="CP63" s="462">
        <f t="shared" si="110"/>
        <v>0</v>
      </c>
      <c r="CQ63" s="462">
        <f t="shared" si="111"/>
        <v>0</v>
      </c>
      <c r="CR63" s="462">
        <f t="shared" si="112"/>
        <v>0</v>
      </c>
      <c r="CS63" s="464">
        <f t="shared" si="113"/>
        <v>0</v>
      </c>
    </row>
    <row r="64" spans="1:97" ht="15.75" customHeight="1" x14ac:dyDescent="0.25">
      <c r="A64" s="724" t="s">
        <v>1447</v>
      </c>
      <c r="B64" s="725">
        <v>42</v>
      </c>
      <c r="C64" s="257"/>
      <c r="D64" s="257"/>
      <c r="E64" s="257"/>
      <c r="F64" s="257"/>
      <c r="G64" s="257"/>
      <c r="H64" s="257"/>
      <c r="I64" s="257"/>
      <c r="J64" s="257"/>
      <c r="K64" s="460">
        <f t="shared" si="87"/>
        <v>0</v>
      </c>
      <c r="L64" s="465"/>
      <c r="M64" s="257"/>
      <c r="N64" s="257"/>
      <c r="O64" s="257"/>
      <c r="P64" s="257"/>
      <c r="Q64" s="257"/>
      <c r="R64" s="257"/>
      <c r="S64" s="257"/>
      <c r="T64" s="462">
        <f t="shared" si="88"/>
        <v>0</v>
      </c>
      <c r="U64" s="463">
        <f t="shared" si="89"/>
        <v>0</v>
      </c>
      <c r="V64" s="725">
        <v>42</v>
      </c>
      <c r="W64" s="257"/>
      <c r="X64" s="257"/>
      <c r="Y64" s="257"/>
      <c r="Z64" s="257"/>
      <c r="AA64" s="257"/>
      <c r="AB64" s="257"/>
      <c r="AC64" s="257"/>
      <c r="AD64" s="257"/>
      <c r="AE64" s="460">
        <f t="shared" si="90"/>
        <v>0</v>
      </c>
      <c r="AF64" s="465"/>
      <c r="AG64" s="257"/>
      <c r="AH64" s="257"/>
      <c r="AI64" s="257"/>
      <c r="AJ64" s="257"/>
      <c r="AK64" s="257"/>
      <c r="AL64" s="257"/>
      <c r="AM64" s="257"/>
      <c r="AN64" s="462">
        <f t="shared" si="91"/>
        <v>0</v>
      </c>
      <c r="AO64" s="463">
        <f t="shared" si="92"/>
        <v>0</v>
      </c>
      <c r="AP64" s="725">
        <v>42</v>
      </c>
      <c r="AQ64" s="257"/>
      <c r="AR64" s="257"/>
      <c r="AS64" s="257"/>
      <c r="AT64" s="257"/>
      <c r="AU64" s="257"/>
      <c r="AV64" s="257"/>
      <c r="AW64" s="257"/>
      <c r="AX64" s="257"/>
      <c r="AY64" s="460">
        <f t="shared" si="93"/>
        <v>0</v>
      </c>
      <c r="AZ64" s="465"/>
      <c r="BA64" s="257"/>
      <c r="BB64" s="257"/>
      <c r="BC64" s="257"/>
      <c r="BD64" s="257"/>
      <c r="BE64" s="257"/>
      <c r="BF64" s="257"/>
      <c r="BG64" s="257"/>
      <c r="BH64" s="462">
        <f t="shared" si="94"/>
        <v>0</v>
      </c>
      <c r="BI64" s="463">
        <f t="shared" si="95"/>
        <v>0</v>
      </c>
      <c r="BJ64" s="725">
        <v>42</v>
      </c>
      <c r="BK64" s="257"/>
      <c r="BL64" s="257"/>
      <c r="BM64" s="257"/>
      <c r="BN64" s="257"/>
      <c r="BO64" s="257"/>
      <c r="BP64" s="257"/>
      <c r="BQ64" s="257"/>
      <c r="BR64" s="257"/>
      <c r="BS64" s="460">
        <f t="shared" si="96"/>
        <v>0</v>
      </c>
      <c r="BT64" s="465"/>
      <c r="BU64" s="257"/>
      <c r="BV64" s="257"/>
      <c r="BW64" s="257"/>
      <c r="BX64" s="257"/>
      <c r="BY64" s="257"/>
      <c r="BZ64" s="257"/>
      <c r="CA64" s="257"/>
      <c r="CB64" s="462">
        <f t="shared" si="97"/>
        <v>0</v>
      </c>
      <c r="CC64" s="463">
        <f t="shared" si="98"/>
        <v>0</v>
      </c>
      <c r="CD64" s="725">
        <v>42</v>
      </c>
      <c r="CE64" s="462">
        <f t="shared" si="99"/>
        <v>0</v>
      </c>
      <c r="CF64" s="462">
        <f t="shared" si="100"/>
        <v>0</v>
      </c>
      <c r="CG64" s="462">
        <f t="shared" si="101"/>
        <v>0</v>
      </c>
      <c r="CH64" s="462">
        <f t="shared" si="102"/>
        <v>0</v>
      </c>
      <c r="CI64" s="464">
        <f t="shared" si="103"/>
        <v>0</v>
      </c>
      <c r="CJ64" s="462">
        <f t="shared" si="104"/>
        <v>0</v>
      </c>
      <c r="CK64" s="462">
        <f t="shared" si="105"/>
        <v>0</v>
      </c>
      <c r="CL64" s="462">
        <f t="shared" si="106"/>
        <v>0</v>
      </c>
      <c r="CM64" s="462">
        <f t="shared" si="107"/>
        <v>0</v>
      </c>
      <c r="CN64" s="464">
        <f t="shared" si="108"/>
        <v>0</v>
      </c>
      <c r="CO64" s="462">
        <f t="shared" si="109"/>
        <v>0</v>
      </c>
      <c r="CP64" s="462">
        <f t="shared" si="110"/>
        <v>0</v>
      </c>
      <c r="CQ64" s="462">
        <f t="shared" si="111"/>
        <v>0</v>
      </c>
      <c r="CR64" s="462">
        <f t="shared" si="112"/>
        <v>0</v>
      </c>
      <c r="CS64" s="464">
        <f t="shared" si="113"/>
        <v>0</v>
      </c>
    </row>
    <row r="65" spans="1:131" ht="15.75" customHeight="1" x14ac:dyDescent="0.25">
      <c r="A65" s="94"/>
      <c r="B65" s="725"/>
      <c r="C65" s="207" t="s">
        <v>32</v>
      </c>
      <c r="D65" s="207" t="s">
        <v>32</v>
      </c>
      <c r="E65" s="207" t="s">
        <v>32</v>
      </c>
      <c r="F65" s="207" t="s">
        <v>32</v>
      </c>
      <c r="G65" s="207" t="s">
        <v>32</v>
      </c>
      <c r="H65" s="207" t="s">
        <v>32</v>
      </c>
      <c r="I65" s="207" t="s">
        <v>32</v>
      </c>
      <c r="J65" s="207" t="s">
        <v>32</v>
      </c>
      <c r="K65" s="426"/>
      <c r="L65" s="427" t="s">
        <v>32</v>
      </c>
      <c r="M65" s="207" t="s">
        <v>32</v>
      </c>
      <c r="N65" s="207" t="s">
        <v>32</v>
      </c>
      <c r="O65" s="207" t="s">
        <v>32</v>
      </c>
      <c r="P65" s="207" t="s">
        <v>32</v>
      </c>
      <c r="Q65" s="207" t="s">
        <v>32</v>
      </c>
      <c r="R65" s="207" t="s">
        <v>32</v>
      </c>
      <c r="S65" s="207" t="s">
        <v>32</v>
      </c>
      <c r="T65" s="428"/>
      <c r="U65" s="427" t="s">
        <v>32</v>
      </c>
      <c r="V65" s="725"/>
      <c r="W65" s="207" t="s">
        <v>32</v>
      </c>
      <c r="X65" s="207" t="s">
        <v>32</v>
      </c>
      <c r="Y65" s="207" t="s">
        <v>32</v>
      </c>
      <c r="Z65" s="207" t="s">
        <v>32</v>
      </c>
      <c r="AA65" s="207" t="s">
        <v>32</v>
      </c>
      <c r="AB65" s="207" t="s">
        <v>32</v>
      </c>
      <c r="AC65" s="207" t="s">
        <v>32</v>
      </c>
      <c r="AD65" s="207" t="s">
        <v>32</v>
      </c>
      <c r="AE65" s="426"/>
      <c r="AF65" s="427" t="s">
        <v>32</v>
      </c>
      <c r="AG65" s="207" t="s">
        <v>32</v>
      </c>
      <c r="AH65" s="207" t="s">
        <v>32</v>
      </c>
      <c r="AI65" s="207" t="s">
        <v>32</v>
      </c>
      <c r="AJ65" s="207" t="s">
        <v>32</v>
      </c>
      <c r="AK65" s="207" t="s">
        <v>32</v>
      </c>
      <c r="AL65" s="207" t="s">
        <v>32</v>
      </c>
      <c r="AM65" s="207" t="s">
        <v>32</v>
      </c>
      <c r="AN65" s="428"/>
      <c r="AO65" s="427" t="s">
        <v>32</v>
      </c>
      <c r="AP65" s="725"/>
      <c r="AQ65" s="207" t="s">
        <v>32</v>
      </c>
      <c r="AR65" s="207" t="s">
        <v>32</v>
      </c>
      <c r="AS65" s="207" t="s">
        <v>32</v>
      </c>
      <c r="AT65" s="207" t="s">
        <v>32</v>
      </c>
      <c r="AU65" s="207" t="s">
        <v>32</v>
      </c>
      <c r="AV65" s="207" t="s">
        <v>32</v>
      </c>
      <c r="AW65" s="207" t="s">
        <v>32</v>
      </c>
      <c r="AX65" s="207" t="s">
        <v>32</v>
      </c>
      <c r="AY65" s="426"/>
      <c r="AZ65" s="427" t="s">
        <v>32</v>
      </c>
      <c r="BA65" s="207" t="s">
        <v>32</v>
      </c>
      <c r="BB65" s="207" t="s">
        <v>32</v>
      </c>
      <c r="BC65" s="207" t="s">
        <v>32</v>
      </c>
      <c r="BD65" s="207" t="s">
        <v>32</v>
      </c>
      <c r="BE65" s="207" t="s">
        <v>32</v>
      </c>
      <c r="BF65" s="207" t="s">
        <v>32</v>
      </c>
      <c r="BG65" s="207" t="s">
        <v>32</v>
      </c>
      <c r="BH65" s="428"/>
      <c r="BI65" s="427" t="s">
        <v>32</v>
      </c>
      <c r="BJ65" s="725"/>
      <c r="BK65" s="207" t="s">
        <v>32</v>
      </c>
      <c r="BL65" s="207" t="s">
        <v>32</v>
      </c>
      <c r="BM65" s="207" t="s">
        <v>32</v>
      </c>
      <c r="BN65" s="207" t="s">
        <v>32</v>
      </c>
      <c r="BO65" s="207" t="s">
        <v>32</v>
      </c>
      <c r="BP65" s="207" t="s">
        <v>32</v>
      </c>
      <c r="BQ65" s="207" t="s">
        <v>32</v>
      </c>
      <c r="BR65" s="207" t="s">
        <v>32</v>
      </c>
      <c r="BS65" s="426"/>
      <c r="BT65" s="427" t="s">
        <v>32</v>
      </c>
      <c r="BU65" s="207" t="s">
        <v>32</v>
      </c>
      <c r="BV65" s="207" t="s">
        <v>32</v>
      </c>
      <c r="BW65" s="207" t="s">
        <v>32</v>
      </c>
      <c r="BX65" s="207" t="s">
        <v>32</v>
      </c>
      <c r="BY65" s="207" t="s">
        <v>32</v>
      </c>
      <c r="BZ65" s="207" t="s">
        <v>32</v>
      </c>
      <c r="CA65" s="207" t="s">
        <v>32</v>
      </c>
      <c r="CB65" s="428"/>
      <c r="CC65" s="427" t="s">
        <v>32</v>
      </c>
      <c r="CD65" s="725"/>
      <c r="CE65" s="428"/>
      <c r="CF65" s="428"/>
      <c r="CG65" s="428"/>
      <c r="CH65" s="428"/>
      <c r="CI65" s="207"/>
      <c r="CJ65" s="428"/>
      <c r="CK65" s="428"/>
      <c r="CL65" s="428"/>
      <c r="CM65" s="428"/>
      <c r="CN65" s="207"/>
      <c r="CO65" s="428"/>
      <c r="CP65" s="428"/>
      <c r="CQ65" s="428"/>
      <c r="CR65" s="428"/>
      <c r="CS65" s="207"/>
    </row>
    <row r="66" spans="1:131" s="17" customFormat="1" ht="15.75" customHeight="1" x14ac:dyDescent="0.25">
      <c r="A66" s="19" t="s">
        <v>420</v>
      </c>
      <c r="B66" s="725">
        <v>43</v>
      </c>
      <c r="C66" s="236">
        <f>SUM(C35:C64)-C44-C46</f>
        <v>1381651.7762042352</v>
      </c>
      <c r="D66" s="236">
        <f t="shared" ref="D66:U66" si="138">SUM(D35:D64)-D44-D46</f>
        <v>3180412.0103708939</v>
      </c>
      <c r="E66" s="236">
        <f t="shared" si="138"/>
        <v>3491881.9938611346</v>
      </c>
      <c r="F66" s="236">
        <f t="shared" si="138"/>
        <v>7709890.1838714657</v>
      </c>
      <c r="G66" s="236">
        <f t="shared" si="138"/>
        <v>3552042.2773194769</v>
      </c>
      <c r="H66" s="236">
        <f t="shared" si="138"/>
        <v>7012901.1847150875</v>
      </c>
      <c r="I66" s="236">
        <f t="shared" si="138"/>
        <v>3173357.2610956463</v>
      </c>
      <c r="J66" s="236">
        <f t="shared" si="138"/>
        <v>5796226.9536376083</v>
      </c>
      <c r="K66" s="241">
        <f t="shared" si="138"/>
        <v>35298363.641075544</v>
      </c>
      <c r="L66" s="238">
        <f t="shared" si="138"/>
        <v>0</v>
      </c>
      <c r="M66" s="238">
        <f t="shared" si="138"/>
        <v>4145900.4207639066</v>
      </c>
      <c r="N66" s="238">
        <f t="shared" si="138"/>
        <v>0</v>
      </c>
      <c r="O66" s="238">
        <f t="shared" si="138"/>
        <v>9147497.5267921407</v>
      </c>
      <c r="P66" s="238">
        <f t="shared" si="138"/>
        <v>0</v>
      </c>
      <c r="Q66" s="238">
        <f t="shared" si="138"/>
        <v>8545992.3021336123</v>
      </c>
      <c r="R66" s="238">
        <f t="shared" si="138"/>
        <v>0</v>
      </c>
      <c r="S66" s="238">
        <f t="shared" si="138"/>
        <v>7855111.3967747623</v>
      </c>
      <c r="T66" s="239">
        <f t="shared" si="138"/>
        <v>29694501.646464422</v>
      </c>
      <c r="U66" s="238">
        <f t="shared" si="138"/>
        <v>64992865.287539981</v>
      </c>
      <c r="V66" s="725">
        <v>43</v>
      </c>
      <c r="W66" s="236">
        <f>SUM(W35:W64)-W44-W46</f>
        <v>174408.54546242705</v>
      </c>
      <c r="X66" s="236">
        <f t="shared" ref="X66:AO66" si="139">SUM(X35:X64)-X44-X46</f>
        <v>627246.54723685328</v>
      </c>
      <c r="Y66" s="236">
        <f t="shared" si="139"/>
        <v>87665.14722168367</v>
      </c>
      <c r="Z66" s="236">
        <f t="shared" si="139"/>
        <v>561077.05529714993</v>
      </c>
      <c r="AA66" s="236">
        <f t="shared" si="139"/>
        <v>85526.083730679878</v>
      </c>
      <c r="AB66" s="236">
        <f t="shared" si="139"/>
        <v>510856.7257587327</v>
      </c>
      <c r="AC66" s="236">
        <f t="shared" si="139"/>
        <v>121821.20906907581</v>
      </c>
      <c r="AD66" s="236">
        <f t="shared" si="139"/>
        <v>517664.19582453009</v>
      </c>
      <c r="AE66" s="241">
        <f t="shared" si="139"/>
        <v>2686265.5096011325</v>
      </c>
      <c r="AF66" s="238">
        <f t="shared" si="139"/>
        <v>0</v>
      </c>
      <c r="AG66" s="238">
        <f t="shared" si="139"/>
        <v>1488905.5639308332</v>
      </c>
      <c r="AH66" s="238">
        <f t="shared" si="139"/>
        <v>0</v>
      </c>
      <c r="AI66" s="238">
        <f t="shared" si="139"/>
        <v>1127789.4144679985</v>
      </c>
      <c r="AJ66" s="238">
        <f t="shared" si="139"/>
        <v>0</v>
      </c>
      <c r="AK66" s="238">
        <f t="shared" si="139"/>
        <v>1249495.5735390407</v>
      </c>
      <c r="AL66" s="238">
        <f t="shared" si="139"/>
        <v>0</v>
      </c>
      <c r="AM66" s="238">
        <f t="shared" si="139"/>
        <v>1461453.1416107577</v>
      </c>
      <c r="AN66" s="239">
        <f t="shared" si="139"/>
        <v>5327643.69354863</v>
      </c>
      <c r="AO66" s="238">
        <f t="shared" si="139"/>
        <v>8013909.2031497611</v>
      </c>
      <c r="AP66" s="725">
        <v>43</v>
      </c>
      <c r="AQ66" s="236">
        <f>SUM(AQ35:AQ64)-AQ44-AQ46</f>
        <v>17854885.549258407</v>
      </c>
      <c r="AR66" s="236">
        <f t="shared" ref="AR66:BI66" si="140">SUM(AR35:AR64)-AR44-AR46</f>
        <v>39247622.268860973</v>
      </c>
      <c r="AS66" s="236">
        <f t="shared" si="140"/>
        <v>16116969.131997608</v>
      </c>
      <c r="AT66" s="236">
        <f t="shared" si="140"/>
        <v>37597571.412487455</v>
      </c>
      <c r="AU66" s="236">
        <f t="shared" si="140"/>
        <v>18469345.542268667</v>
      </c>
      <c r="AV66" s="236">
        <f t="shared" si="140"/>
        <v>40602308.941272341</v>
      </c>
      <c r="AW66" s="236">
        <f t="shared" si="140"/>
        <v>21395541.680286035</v>
      </c>
      <c r="AX66" s="236">
        <f t="shared" si="140"/>
        <v>43398113.19191879</v>
      </c>
      <c r="AY66" s="241">
        <f t="shared" si="140"/>
        <v>234682357.71835026</v>
      </c>
      <c r="AZ66" s="238">
        <f t="shared" si="140"/>
        <v>0</v>
      </c>
      <c r="BA66" s="238">
        <f t="shared" si="140"/>
        <v>30344206.87265167</v>
      </c>
      <c r="BB66" s="238">
        <f t="shared" si="140"/>
        <v>0</v>
      </c>
      <c r="BC66" s="238">
        <f t="shared" si="140"/>
        <v>28825428.738988757</v>
      </c>
      <c r="BD66" s="238">
        <f t="shared" si="140"/>
        <v>0</v>
      </c>
      <c r="BE66" s="238">
        <f t="shared" si="140"/>
        <v>31730605.288897119</v>
      </c>
      <c r="BF66" s="238">
        <f t="shared" si="140"/>
        <v>0</v>
      </c>
      <c r="BG66" s="238">
        <f t="shared" si="140"/>
        <v>34126623.626251541</v>
      </c>
      <c r="BH66" s="239">
        <f t="shared" si="140"/>
        <v>125026864.52678908</v>
      </c>
      <c r="BI66" s="238">
        <f t="shared" si="140"/>
        <v>359709222.24513936</v>
      </c>
      <c r="BJ66" s="725">
        <v>43</v>
      </c>
      <c r="BK66" s="236">
        <f>SUM(BK35:BK64)-BK44-BK46</f>
        <v>544089.65988686634</v>
      </c>
      <c r="BL66" s="236">
        <f t="shared" ref="BL66:CR66" si="141">SUM(BL35:BL64)-BL44-BL46</f>
        <v>4557773.8695325684</v>
      </c>
      <c r="BM66" s="236">
        <f t="shared" si="141"/>
        <v>442131.43938594637</v>
      </c>
      <c r="BN66" s="236">
        <f t="shared" si="141"/>
        <v>3911875.5444390411</v>
      </c>
      <c r="BO66" s="236">
        <f t="shared" si="141"/>
        <v>465071.89521875611</v>
      </c>
      <c r="BP66" s="236">
        <f t="shared" si="141"/>
        <v>4324850.8553567203</v>
      </c>
      <c r="BQ66" s="236">
        <f t="shared" si="141"/>
        <v>695967.37802944845</v>
      </c>
      <c r="BR66" s="236">
        <f t="shared" si="141"/>
        <v>4456023.5411270075</v>
      </c>
      <c r="BS66" s="241">
        <f t="shared" si="141"/>
        <v>19397784.18297635</v>
      </c>
      <c r="BT66" s="238">
        <f t="shared" si="141"/>
        <v>0</v>
      </c>
      <c r="BU66" s="238">
        <f t="shared" si="141"/>
        <v>1598896.2430455813</v>
      </c>
      <c r="BV66" s="238">
        <f t="shared" si="141"/>
        <v>0</v>
      </c>
      <c r="BW66" s="238">
        <f t="shared" si="141"/>
        <v>1800706.2939766666</v>
      </c>
      <c r="BX66" s="238">
        <f t="shared" si="141"/>
        <v>0</v>
      </c>
      <c r="BY66" s="238">
        <f t="shared" si="141"/>
        <v>1653238.8270466395</v>
      </c>
      <c r="BZ66" s="238">
        <f t="shared" si="141"/>
        <v>0</v>
      </c>
      <c r="CA66" s="238">
        <f t="shared" si="141"/>
        <v>1882616.1973396007</v>
      </c>
      <c r="CB66" s="239">
        <f t="shared" si="141"/>
        <v>6935457.5614084862</v>
      </c>
      <c r="CC66" s="238">
        <f t="shared" si="141"/>
        <v>26333241.74438484</v>
      </c>
      <c r="CD66" s="725">
        <v>43</v>
      </c>
      <c r="CE66" s="239">
        <f t="shared" ref="CE66:CH66" si="142">SUM(CE35:CE64)-CE44-CE46</f>
        <v>67568090.226813242</v>
      </c>
      <c r="CF66" s="239">
        <f t="shared" si="142"/>
        <v>69919061.908561483</v>
      </c>
      <c r="CG66" s="239">
        <f t="shared" si="142"/>
        <v>75022903.505640492</v>
      </c>
      <c r="CH66" s="239">
        <f t="shared" si="142"/>
        <v>79554715.410988137</v>
      </c>
      <c r="CI66" s="236">
        <f>SUM(BS66,AY66,AE66,K66)</f>
        <v>292064771.05200326</v>
      </c>
      <c r="CJ66" s="239">
        <f t="shared" ref="CJ66:CM66" si="143">SUM(CJ35:CJ64)-CJ44-CJ46</f>
        <v>37577909.100391999</v>
      </c>
      <c r="CK66" s="239">
        <f t="shared" si="143"/>
        <v>40901421.974225558</v>
      </c>
      <c r="CL66" s="239">
        <f t="shared" si="143"/>
        <v>43179331.991616398</v>
      </c>
      <c r="CM66" s="239">
        <f t="shared" si="143"/>
        <v>45325804.361976653</v>
      </c>
      <c r="CN66" s="236">
        <f>SUM(BX66,BD66,AJ66,P66)</f>
        <v>0</v>
      </c>
      <c r="CO66" s="239">
        <f t="shared" si="141"/>
        <v>105145999.32720524</v>
      </c>
      <c r="CP66" s="239">
        <f t="shared" si="141"/>
        <v>110820483.88278706</v>
      </c>
      <c r="CQ66" s="239">
        <f t="shared" si="141"/>
        <v>118202235.49725688</v>
      </c>
      <c r="CR66" s="239">
        <f t="shared" si="141"/>
        <v>124880519.77296481</v>
      </c>
      <c r="CS66" s="236">
        <f>SUM(CC66,BI66,AO66,U66)</f>
        <v>459049238.48021388</v>
      </c>
      <c r="CT66" s="361"/>
      <c r="CU66" s="361"/>
      <c r="CV66" s="361"/>
      <c r="CW66" s="361"/>
      <c r="CX66" s="361"/>
      <c r="CY66" s="361"/>
      <c r="CZ66" s="361"/>
      <c r="DA66" s="361"/>
      <c r="DB66" s="361"/>
      <c r="DC66" s="361"/>
      <c r="DD66" s="361"/>
      <c r="DE66" s="361"/>
      <c r="DF66" s="361"/>
      <c r="DG66" s="361"/>
      <c r="DH66" s="361"/>
      <c r="DI66" s="361"/>
      <c r="DJ66" s="361"/>
      <c r="DK66" s="361"/>
      <c r="DL66" s="361"/>
      <c r="DM66" s="361"/>
      <c r="DN66" s="361"/>
      <c r="DO66" s="361"/>
      <c r="DP66" s="361"/>
      <c r="DQ66" s="361"/>
      <c r="DR66" s="361"/>
      <c r="DS66" s="361"/>
      <c r="DT66" s="361"/>
      <c r="DU66" s="361"/>
      <c r="DV66" s="361"/>
      <c r="DW66" s="361"/>
      <c r="DX66" s="361"/>
      <c r="DY66" s="361"/>
      <c r="DZ66" s="361"/>
      <c r="EA66" s="361"/>
    </row>
    <row r="67" spans="1:131" ht="15.75" customHeight="1" x14ac:dyDescent="0.25">
      <c r="B67" s="725"/>
      <c r="C67" s="198"/>
      <c r="D67" s="198"/>
      <c r="E67" s="198"/>
      <c r="F67" s="198"/>
      <c r="G67" s="198"/>
      <c r="H67" s="198"/>
      <c r="I67" s="198"/>
      <c r="J67" s="198"/>
      <c r="K67" s="429"/>
      <c r="L67" s="430"/>
      <c r="M67" s="198"/>
      <c r="N67" s="198"/>
      <c r="O67" s="198"/>
      <c r="P67" s="198"/>
      <c r="Q67" s="198"/>
      <c r="R67" s="198"/>
      <c r="S67" s="198"/>
      <c r="T67" s="198"/>
      <c r="U67" s="431"/>
      <c r="V67" s="725"/>
      <c r="W67" s="198"/>
      <c r="X67" s="198"/>
      <c r="Y67" s="198"/>
      <c r="Z67" s="198"/>
      <c r="AA67" s="198"/>
      <c r="AB67" s="198"/>
      <c r="AC67" s="198"/>
      <c r="AD67" s="198"/>
      <c r="AE67" s="429"/>
      <c r="AF67" s="430"/>
      <c r="AG67" s="198"/>
      <c r="AH67" s="198"/>
      <c r="AI67" s="198"/>
      <c r="AJ67" s="198"/>
      <c r="AK67" s="198"/>
      <c r="AL67" s="198"/>
      <c r="AM67" s="198"/>
      <c r="AN67" s="198"/>
      <c r="AO67" s="431"/>
      <c r="AP67" s="725"/>
      <c r="AQ67" s="198"/>
      <c r="AR67" s="198"/>
      <c r="AS67" s="198"/>
      <c r="AT67" s="198"/>
      <c r="AU67" s="198"/>
      <c r="AV67" s="198"/>
      <c r="AW67" s="198"/>
      <c r="AX67" s="198"/>
      <c r="AY67" s="429"/>
      <c r="AZ67" s="430"/>
      <c r="BA67" s="198"/>
      <c r="BB67" s="198"/>
      <c r="BC67" s="198"/>
      <c r="BD67" s="198"/>
      <c r="BE67" s="198"/>
      <c r="BF67" s="198"/>
      <c r="BG67" s="198"/>
      <c r="BH67" s="198"/>
      <c r="BI67" s="431"/>
      <c r="BJ67" s="725"/>
      <c r="BK67" s="198"/>
      <c r="BL67" s="198"/>
      <c r="BM67" s="198"/>
      <c r="BN67" s="198"/>
      <c r="BO67" s="198"/>
      <c r="BP67" s="198"/>
      <c r="BQ67" s="198"/>
      <c r="BR67" s="198"/>
      <c r="BS67" s="429"/>
      <c r="BT67" s="430"/>
      <c r="BU67" s="198"/>
      <c r="BV67" s="198"/>
      <c r="BW67" s="198"/>
      <c r="BX67" s="198"/>
      <c r="BY67" s="198"/>
      <c r="BZ67" s="198"/>
      <c r="CA67" s="198"/>
      <c r="CB67" s="198"/>
      <c r="CC67" s="431"/>
      <c r="CD67" s="725"/>
      <c r="CE67" s="198"/>
      <c r="CF67" s="198"/>
      <c r="CG67" s="198"/>
      <c r="CH67" s="198"/>
      <c r="CI67" s="467"/>
      <c r="CJ67" s="198"/>
      <c r="CK67" s="198"/>
      <c r="CL67" s="198"/>
      <c r="CM67" s="198"/>
      <c r="CN67" s="467"/>
      <c r="CO67" s="198"/>
      <c r="CP67" s="198"/>
      <c r="CQ67" s="198"/>
      <c r="CR67" s="198"/>
      <c r="CS67" s="467"/>
    </row>
    <row r="68" spans="1:131" ht="15.75" customHeight="1" x14ac:dyDescent="0.25">
      <c r="A68" s="19" t="s">
        <v>314</v>
      </c>
      <c r="B68" s="725"/>
      <c r="C68" s="207" t="s">
        <v>32</v>
      </c>
      <c r="D68" s="207" t="s">
        <v>32</v>
      </c>
      <c r="E68" s="207" t="s">
        <v>32</v>
      </c>
      <c r="F68" s="207" t="s">
        <v>32</v>
      </c>
      <c r="G68" s="207" t="s">
        <v>32</v>
      </c>
      <c r="H68" s="207" t="s">
        <v>32</v>
      </c>
      <c r="I68" s="207" t="s">
        <v>32</v>
      </c>
      <c r="J68" s="207" t="s">
        <v>32</v>
      </c>
      <c r="K68" s="426"/>
      <c r="L68" s="427" t="s">
        <v>32</v>
      </c>
      <c r="M68" s="207" t="s">
        <v>32</v>
      </c>
      <c r="N68" s="207" t="s">
        <v>32</v>
      </c>
      <c r="O68" s="207" t="s">
        <v>32</v>
      </c>
      <c r="P68" s="207" t="s">
        <v>32</v>
      </c>
      <c r="Q68" s="207" t="s">
        <v>32</v>
      </c>
      <c r="R68" s="207" t="s">
        <v>32</v>
      </c>
      <c r="S68" s="207" t="s">
        <v>32</v>
      </c>
      <c r="T68" s="428"/>
      <c r="U68" s="427" t="s">
        <v>32</v>
      </c>
      <c r="V68" s="725"/>
      <c r="W68" s="207" t="s">
        <v>32</v>
      </c>
      <c r="X68" s="207" t="s">
        <v>32</v>
      </c>
      <c r="Y68" s="207" t="s">
        <v>32</v>
      </c>
      <c r="Z68" s="207" t="s">
        <v>32</v>
      </c>
      <c r="AA68" s="207" t="s">
        <v>32</v>
      </c>
      <c r="AB68" s="207" t="s">
        <v>32</v>
      </c>
      <c r="AC68" s="207" t="s">
        <v>32</v>
      </c>
      <c r="AD68" s="207" t="s">
        <v>32</v>
      </c>
      <c r="AE68" s="426"/>
      <c r="AF68" s="427" t="s">
        <v>32</v>
      </c>
      <c r="AG68" s="207" t="s">
        <v>32</v>
      </c>
      <c r="AH68" s="207" t="s">
        <v>32</v>
      </c>
      <c r="AI68" s="207" t="s">
        <v>32</v>
      </c>
      <c r="AJ68" s="207" t="s">
        <v>32</v>
      </c>
      <c r="AK68" s="207" t="s">
        <v>32</v>
      </c>
      <c r="AL68" s="207" t="s">
        <v>32</v>
      </c>
      <c r="AM68" s="207" t="s">
        <v>32</v>
      </c>
      <c r="AN68" s="428"/>
      <c r="AO68" s="427" t="s">
        <v>32</v>
      </c>
      <c r="AP68" s="725"/>
      <c r="AQ68" s="207" t="s">
        <v>32</v>
      </c>
      <c r="AR68" s="207" t="s">
        <v>32</v>
      </c>
      <c r="AS68" s="207" t="s">
        <v>32</v>
      </c>
      <c r="AT68" s="207" t="s">
        <v>32</v>
      </c>
      <c r="AU68" s="207" t="s">
        <v>32</v>
      </c>
      <c r="AV68" s="207" t="s">
        <v>32</v>
      </c>
      <c r="AW68" s="207" t="s">
        <v>32</v>
      </c>
      <c r="AX68" s="207" t="s">
        <v>32</v>
      </c>
      <c r="AY68" s="426"/>
      <c r="AZ68" s="427" t="s">
        <v>32</v>
      </c>
      <c r="BA68" s="207" t="s">
        <v>32</v>
      </c>
      <c r="BB68" s="207" t="s">
        <v>32</v>
      </c>
      <c r="BC68" s="207" t="s">
        <v>32</v>
      </c>
      <c r="BD68" s="207" t="s">
        <v>32</v>
      </c>
      <c r="BE68" s="207" t="s">
        <v>32</v>
      </c>
      <c r="BF68" s="207" t="s">
        <v>32</v>
      </c>
      <c r="BG68" s="207" t="s">
        <v>32</v>
      </c>
      <c r="BH68" s="428"/>
      <c r="BI68" s="427" t="s">
        <v>32</v>
      </c>
      <c r="BJ68" s="725"/>
      <c r="BK68" s="207" t="s">
        <v>32</v>
      </c>
      <c r="BL68" s="207" t="s">
        <v>32</v>
      </c>
      <c r="BM68" s="207" t="s">
        <v>32</v>
      </c>
      <c r="BN68" s="207" t="s">
        <v>32</v>
      </c>
      <c r="BO68" s="207" t="s">
        <v>32</v>
      </c>
      <c r="BP68" s="207" t="s">
        <v>32</v>
      </c>
      <c r="BQ68" s="207" t="s">
        <v>32</v>
      </c>
      <c r="BR68" s="207" t="s">
        <v>32</v>
      </c>
      <c r="BS68" s="426"/>
      <c r="BT68" s="427" t="s">
        <v>32</v>
      </c>
      <c r="BU68" s="207" t="s">
        <v>32</v>
      </c>
      <c r="BV68" s="207" t="s">
        <v>32</v>
      </c>
      <c r="BW68" s="207" t="s">
        <v>32</v>
      </c>
      <c r="BX68" s="207" t="s">
        <v>32</v>
      </c>
      <c r="BY68" s="207" t="s">
        <v>32</v>
      </c>
      <c r="BZ68" s="207" t="s">
        <v>32</v>
      </c>
      <c r="CA68" s="207" t="s">
        <v>32</v>
      </c>
      <c r="CB68" s="428"/>
      <c r="CC68" s="427" t="s">
        <v>32</v>
      </c>
      <c r="CD68" s="725"/>
      <c r="CE68" s="198"/>
      <c r="CF68" s="198"/>
      <c r="CG68" s="198"/>
      <c r="CH68" s="198"/>
      <c r="CI68" s="467"/>
      <c r="CJ68" s="198"/>
      <c r="CK68" s="198"/>
      <c r="CL68" s="198"/>
      <c r="CM68" s="198"/>
      <c r="CN68" s="467"/>
      <c r="CO68" s="198"/>
      <c r="CP68" s="198"/>
      <c r="CQ68" s="198"/>
      <c r="CR68" s="198"/>
      <c r="CS68" s="467"/>
    </row>
    <row r="69" spans="1:131" ht="15.75" customHeight="1" x14ac:dyDescent="0.25">
      <c r="A69" s="94" t="s">
        <v>241</v>
      </c>
      <c r="B69" s="725">
        <v>44</v>
      </c>
      <c r="C69" s="468">
        <v>3956.7278960842191</v>
      </c>
      <c r="D69" s="468">
        <v>7501.8325265377989</v>
      </c>
      <c r="E69" s="468">
        <v>3995.189581757435</v>
      </c>
      <c r="F69" s="468">
        <v>7726.7271009362021</v>
      </c>
      <c r="G69" s="468">
        <v>7445.9467621990843</v>
      </c>
      <c r="H69" s="468">
        <v>14884.714247792304</v>
      </c>
      <c r="I69" s="468">
        <v>5574.4978370017061</v>
      </c>
      <c r="J69" s="468">
        <v>10838.612600684044</v>
      </c>
      <c r="K69" s="460">
        <f>SUM(C69:J69)</f>
        <v>61924.248552992787</v>
      </c>
      <c r="L69" s="469">
        <v>0</v>
      </c>
      <c r="M69" s="468">
        <v>11300.10066788885</v>
      </c>
      <c r="N69" s="468">
        <v>0</v>
      </c>
      <c r="O69" s="468">
        <v>10481.97143593241</v>
      </c>
      <c r="P69" s="468">
        <v>0</v>
      </c>
      <c r="Q69" s="468">
        <v>25902.325637924605</v>
      </c>
      <c r="R69" s="468">
        <v>0</v>
      </c>
      <c r="S69" s="468">
        <v>17556.468507138125</v>
      </c>
      <c r="T69" s="462">
        <f>SUM(L69:S69)</f>
        <v>65240.866248883991</v>
      </c>
      <c r="U69" s="463">
        <f>SUM(T69,K69)</f>
        <v>127165.11480187677</v>
      </c>
      <c r="V69" s="725">
        <v>44</v>
      </c>
      <c r="W69" s="468">
        <v>611.94599434969632</v>
      </c>
      <c r="X69" s="468">
        <v>3419.0402892410029</v>
      </c>
      <c r="Y69" s="468">
        <v>631.25801981177233</v>
      </c>
      <c r="Z69" s="468">
        <v>3235.2127916755962</v>
      </c>
      <c r="AA69" s="468">
        <v>1066.7547534976898</v>
      </c>
      <c r="AB69" s="468">
        <v>6084.3609978053282</v>
      </c>
      <c r="AC69" s="468">
        <v>818.09123366949848</v>
      </c>
      <c r="AD69" s="468">
        <v>4487.6064545071094</v>
      </c>
      <c r="AE69" s="460">
        <f>SUM(W69:AD69)</f>
        <v>20354.270534557694</v>
      </c>
      <c r="AF69" s="469">
        <v>0</v>
      </c>
      <c r="AG69" s="468">
        <v>3495.9528775066469</v>
      </c>
      <c r="AH69" s="468">
        <v>0</v>
      </c>
      <c r="AI69" s="468">
        <v>2837.2930457105026</v>
      </c>
      <c r="AJ69" s="468">
        <v>0</v>
      </c>
      <c r="AK69" s="468">
        <v>6906.6955854674743</v>
      </c>
      <c r="AL69" s="468">
        <v>0</v>
      </c>
      <c r="AM69" s="468">
        <v>4624.1580223244036</v>
      </c>
      <c r="AN69" s="462">
        <f>SUM(AF69:AM69)</f>
        <v>17864.099531009029</v>
      </c>
      <c r="AO69" s="463">
        <f>SUM(AN69,AE69)</f>
        <v>38218.37006556672</v>
      </c>
      <c r="AP69" s="725">
        <v>44</v>
      </c>
      <c r="AQ69" s="468">
        <v>65669.691491096295</v>
      </c>
      <c r="AR69" s="468">
        <v>148284.22128049971</v>
      </c>
      <c r="AS69" s="468">
        <v>69695.781424526038</v>
      </c>
      <c r="AT69" s="468">
        <v>155512.84285204601</v>
      </c>
      <c r="AU69" s="468">
        <v>135670.31130810306</v>
      </c>
      <c r="AV69" s="468">
        <v>302106.02604306594</v>
      </c>
      <c r="AW69" s="468">
        <v>106150.34220541727</v>
      </c>
      <c r="AX69" s="468">
        <v>227650.70988427251</v>
      </c>
      <c r="AY69" s="460">
        <f>SUM(AQ69:AX69)</f>
        <v>1210739.9264890268</v>
      </c>
      <c r="AZ69" s="469">
        <v>0</v>
      </c>
      <c r="BA69" s="468">
        <v>86500.607169509123</v>
      </c>
      <c r="BB69" s="468">
        <v>0</v>
      </c>
      <c r="BC69" s="468">
        <v>72336.534697709285</v>
      </c>
      <c r="BD69" s="468">
        <v>0</v>
      </c>
      <c r="BE69" s="468">
        <v>187223.83017794215</v>
      </c>
      <c r="BF69" s="468">
        <v>0</v>
      </c>
      <c r="BG69" s="468">
        <v>127182.35962547301</v>
      </c>
      <c r="BH69" s="462">
        <f>SUM(AZ69:BG69)</f>
        <v>473243.33167063363</v>
      </c>
      <c r="BI69" s="463">
        <f>SUM(BH69,AY69)</f>
        <v>1683983.2581596603</v>
      </c>
      <c r="BJ69" s="725">
        <v>44</v>
      </c>
      <c r="BK69" s="468">
        <v>1353.4870685763469</v>
      </c>
      <c r="BL69" s="468">
        <v>14523.77419276533</v>
      </c>
      <c r="BM69" s="468">
        <v>1444.6279495767219</v>
      </c>
      <c r="BN69" s="468">
        <v>14232.740180906523</v>
      </c>
      <c r="BO69" s="468">
        <v>2386.8020834629738</v>
      </c>
      <c r="BP69" s="468">
        <v>25396.104068022636</v>
      </c>
      <c r="BQ69" s="468">
        <v>2200.8800423285766</v>
      </c>
      <c r="BR69" s="468">
        <v>19667.666035546958</v>
      </c>
      <c r="BS69" s="460">
        <f>SUM(BK69:BR69)</f>
        <v>81206.081621186066</v>
      </c>
      <c r="BT69" s="469">
        <v>0</v>
      </c>
      <c r="BU69" s="468">
        <v>3124.7080549737893</v>
      </c>
      <c r="BV69" s="468">
        <v>0</v>
      </c>
      <c r="BW69" s="468">
        <v>2757.7132031193169</v>
      </c>
      <c r="BX69" s="468">
        <v>0</v>
      </c>
      <c r="BY69" s="468">
        <v>6797.6916279901907</v>
      </c>
      <c r="BZ69" s="468">
        <v>0</v>
      </c>
      <c r="CA69" s="468">
        <v>5611.4723553084086</v>
      </c>
      <c r="CB69" s="462">
        <f>SUM(BT69:CA69)</f>
        <v>18291.585241391705</v>
      </c>
      <c r="CC69" s="463">
        <f>SUM(CB69,BS69)</f>
        <v>99497.666862577767</v>
      </c>
      <c r="CD69" s="725">
        <v>44</v>
      </c>
      <c r="CE69" s="462">
        <f t="shared" ref="CE69:CE71" si="144">+C69+D69+W69+X69+AQ69+AR69+BK69+BL69</f>
        <v>245320.72073915042</v>
      </c>
      <c r="CF69" s="462">
        <f t="shared" ref="CF69:CF71" si="145">+E69+F69+Y69+Z69+AS69+AT69+BM69+BN69</f>
        <v>256474.3799012363</v>
      </c>
      <c r="CG69" s="462">
        <f t="shared" ref="CG69:CG71" si="146">+G69+H69+AA69+AB69+AU69+AV69+BO69+BP69</f>
        <v>495041.02026394906</v>
      </c>
      <c r="CH69" s="462">
        <f t="shared" ref="CH69:CH71" si="147">+I69+J69+AC69+AD69+AW69+AX69+BQ69+BR69</f>
        <v>377388.40629342769</v>
      </c>
      <c r="CI69" s="464">
        <f t="shared" ref="CI69:CI71" si="148">SUM(K69,AE69,AY69,BS69)</f>
        <v>1374224.5271977633</v>
      </c>
      <c r="CJ69" s="462">
        <f t="shared" ref="CJ69:CJ71" si="149">L69+M69+AF69+AG69+AZ69+BA69+BT69+BU69</f>
        <v>104421.36876987841</v>
      </c>
      <c r="CK69" s="462">
        <f t="shared" ref="CK69:CK71" si="150">N69+O69+AH69+AI69+BB69+BC69+BV69+BW69</f>
        <v>88413.512382471512</v>
      </c>
      <c r="CL69" s="462">
        <f t="shared" ref="CL69:CL71" si="151">P69+Q69+AJ69+AK69+BD69+BE69+BX69+BY69</f>
        <v>226830.54302932441</v>
      </c>
      <c r="CM69" s="462">
        <f t="shared" ref="CM69:CM71" si="152">+R69+S69+AL69+AM69+BF69+BG69+BZ69+CA69</f>
        <v>154974.45851024395</v>
      </c>
      <c r="CN69" s="464">
        <f t="shared" ref="CN69:CN71" si="153">SUM(T69,AN69,BH69,CB69)</f>
        <v>574639.88269191829</v>
      </c>
      <c r="CO69" s="462">
        <f t="shared" ref="CO69:CO71" si="154">+C69+D69+L69+M69+W69+X69+AF69+AG69+AQ69+AR69+AZ69+BA69+BK69+BL69+BT69+BU69</f>
        <v>349742.08950902882</v>
      </c>
      <c r="CP69" s="462">
        <f t="shared" ref="CP69:CP71" si="155">+E69+F69+N69+O69+Y69+Z69+AH69+AI69+AS69+AT69+BB69+BC69+BM69+BN69+BV69+BW69</f>
        <v>344887.8922837078</v>
      </c>
      <c r="CQ69" s="462">
        <f t="shared" ref="CQ69:CQ71" si="156">+G69+H69+P69+Q69+AA69+AB69+AJ69+AK69+AU69+AV69+BD69+BE69+BO69+BP69+BX69+BY69</f>
        <v>721871.56329327344</v>
      </c>
      <c r="CR69" s="462">
        <f t="shared" ref="CR69:CR71" si="157">+I69+J69+R69+S69+AC69+AD69+AL69+AM69+AW69+AX69+BF69+BG69+BQ69+BR69+BZ69+CA69</f>
        <v>532362.8648036716</v>
      </c>
      <c r="CS69" s="464">
        <f t="shared" ref="CS69:CS71" si="158">SUM(CC69,BI69,AO69,U69)</f>
        <v>1948864.4098896813</v>
      </c>
    </row>
    <row r="70" spans="1:131" ht="15.75" customHeight="1" x14ac:dyDescent="0.25">
      <c r="A70" s="94" t="s">
        <v>318</v>
      </c>
      <c r="B70" s="725">
        <v>45</v>
      </c>
      <c r="C70" s="258">
        <f t="shared" ref="C70:J70" si="159">IF(ABS(C62)&lt;C83, -C62, C83)</f>
        <v>0</v>
      </c>
      <c r="D70" s="258">
        <f t="shared" si="159"/>
        <v>0</v>
      </c>
      <c r="E70" s="258">
        <f t="shared" si="159"/>
        <v>0</v>
      </c>
      <c r="F70" s="258">
        <f t="shared" si="159"/>
        <v>0</v>
      </c>
      <c r="G70" s="258">
        <f t="shared" si="159"/>
        <v>0</v>
      </c>
      <c r="H70" s="258">
        <f t="shared" si="159"/>
        <v>0</v>
      </c>
      <c r="I70" s="258">
        <f t="shared" si="159"/>
        <v>0</v>
      </c>
      <c r="J70" s="258">
        <f t="shared" si="159"/>
        <v>0</v>
      </c>
      <c r="K70" s="460">
        <f t="shared" ref="K70" si="160">SUM(C70:J70)</f>
        <v>0</v>
      </c>
      <c r="L70" s="466">
        <f t="shared" ref="L70:S70" si="161">IF(ABS(L62)&lt;L83, -L62, L83)</f>
        <v>0</v>
      </c>
      <c r="M70" s="258">
        <f t="shared" si="161"/>
        <v>0</v>
      </c>
      <c r="N70" s="258">
        <f t="shared" si="161"/>
        <v>0</v>
      </c>
      <c r="O70" s="258">
        <f t="shared" si="161"/>
        <v>0</v>
      </c>
      <c r="P70" s="258">
        <f t="shared" si="161"/>
        <v>0</v>
      </c>
      <c r="Q70" s="258">
        <f t="shared" si="161"/>
        <v>0</v>
      </c>
      <c r="R70" s="258">
        <f t="shared" si="161"/>
        <v>0</v>
      </c>
      <c r="S70" s="258">
        <f t="shared" si="161"/>
        <v>0</v>
      </c>
      <c r="T70" s="462">
        <f t="shared" ref="T70" si="162">SUM(L70:S70)</f>
        <v>0</v>
      </c>
      <c r="U70" s="463">
        <f t="shared" ref="U70" si="163">SUM(T70,K70)</f>
        <v>0</v>
      </c>
      <c r="V70" s="725">
        <v>45</v>
      </c>
      <c r="W70" s="258">
        <f t="shared" ref="W70:AD70" si="164">IF(ABS(W62)&lt;W83, -W62, W83)</f>
        <v>0</v>
      </c>
      <c r="X70" s="258">
        <f t="shared" si="164"/>
        <v>0</v>
      </c>
      <c r="Y70" s="258">
        <f t="shared" si="164"/>
        <v>0</v>
      </c>
      <c r="Z70" s="258">
        <f t="shared" si="164"/>
        <v>0</v>
      </c>
      <c r="AA70" s="258">
        <f t="shared" si="164"/>
        <v>0</v>
      </c>
      <c r="AB70" s="258">
        <f t="shared" si="164"/>
        <v>0</v>
      </c>
      <c r="AC70" s="258">
        <f t="shared" si="164"/>
        <v>0</v>
      </c>
      <c r="AD70" s="258">
        <f t="shared" si="164"/>
        <v>0</v>
      </c>
      <c r="AE70" s="460">
        <f t="shared" ref="AE70" si="165">SUM(W70:AD70)</f>
        <v>0</v>
      </c>
      <c r="AF70" s="466">
        <f t="shared" ref="AF70:AM70" si="166">IF(ABS(AF62)&lt;AF83, -AF62, AF83)</f>
        <v>0</v>
      </c>
      <c r="AG70" s="258">
        <f t="shared" si="166"/>
        <v>0</v>
      </c>
      <c r="AH70" s="258">
        <f t="shared" si="166"/>
        <v>0</v>
      </c>
      <c r="AI70" s="258">
        <f t="shared" si="166"/>
        <v>0</v>
      </c>
      <c r="AJ70" s="258">
        <f t="shared" si="166"/>
        <v>0</v>
      </c>
      <c r="AK70" s="258">
        <f t="shared" si="166"/>
        <v>0</v>
      </c>
      <c r="AL70" s="258">
        <f t="shared" si="166"/>
        <v>0</v>
      </c>
      <c r="AM70" s="258">
        <f t="shared" si="166"/>
        <v>0</v>
      </c>
      <c r="AN70" s="462">
        <f t="shared" ref="AN70" si="167">SUM(AF70:AM70)</f>
        <v>0</v>
      </c>
      <c r="AO70" s="463">
        <f t="shared" ref="AO70" si="168">SUM(AN70,AE70)</f>
        <v>0</v>
      </c>
      <c r="AP70" s="725">
        <v>45</v>
      </c>
      <c r="AQ70" s="258">
        <f t="shared" ref="AQ70:AX70" si="169">IF(ABS(AQ62)&lt;AQ83, -AQ62, AQ83)</f>
        <v>0</v>
      </c>
      <c r="AR70" s="258">
        <f t="shared" si="169"/>
        <v>0</v>
      </c>
      <c r="AS70" s="258">
        <f t="shared" si="169"/>
        <v>0</v>
      </c>
      <c r="AT70" s="258">
        <f t="shared" si="169"/>
        <v>0</v>
      </c>
      <c r="AU70" s="258">
        <f t="shared" si="169"/>
        <v>0</v>
      </c>
      <c r="AV70" s="258">
        <f t="shared" si="169"/>
        <v>0</v>
      </c>
      <c r="AW70" s="258">
        <f t="shared" si="169"/>
        <v>0</v>
      </c>
      <c r="AX70" s="258">
        <f t="shared" si="169"/>
        <v>0</v>
      </c>
      <c r="AY70" s="460">
        <f t="shared" ref="AY70" si="170">SUM(AQ70:AX70)</f>
        <v>0</v>
      </c>
      <c r="AZ70" s="466">
        <f t="shared" ref="AZ70:BG70" si="171">IF(ABS(AZ62)&lt;AZ83, -AZ62, AZ83)</f>
        <v>0</v>
      </c>
      <c r="BA70" s="258">
        <f t="shared" si="171"/>
        <v>0</v>
      </c>
      <c r="BB70" s="258">
        <f t="shared" si="171"/>
        <v>0</v>
      </c>
      <c r="BC70" s="258">
        <f t="shared" si="171"/>
        <v>0</v>
      </c>
      <c r="BD70" s="258">
        <f t="shared" si="171"/>
        <v>0</v>
      </c>
      <c r="BE70" s="258">
        <f t="shared" si="171"/>
        <v>0</v>
      </c>
      <c r="BF70" s="258">
        <f t="shared" si="171"/>
        <v>0</v>
      </c>
      <c r="BG70" s="258">
        <f t="shared" si="171"/>
        <v>0</v>
      </c>
      <c r="BH70" s="462">
        <f t="shared" ref="BH70" si="172">SUM(AZ70:BG70)</f>
        <v>0</v>
      </c>
      <c r="BI70" s="463">
        <f t="shared" ref="BI70" si="173">SUM(BH70,AY70)</f>
        <v>0</v>
      </c>
      <c r="BJ70" s="725">
        <v>45</v>
      </c>
      <c r="BK70" s="258">
        <f t="shared" ref="BK70:BR70" si="174">IF(ABS(BK62)&lt;BK83, -BK62, BK83)</f>
        <v>0</v>
      </c>
      <c r="BL70" s="258">
        <f t="shared" si="174"/>
        <v>0</v>
      </c>
      <c r="BM70" s="258">
        <f t="shared" si="174"/>
        <v>0</v>
      </c>
      <c r="BN70" s="258">
        <f t="shared" si="174"/>
        <v>0</v>
      </c>
      <c r="BO70" s="258">
        <f t="shared" si="174"/>
        <v>0</v>
      </c>
      <c r="BP70" s="258">
        <f t="shared" si="174"/>
        <v>0</v>
      </c>
      <c r="BQ70" s="258">
        <f t="shared" si="174"/>
        <v>0</v>
      </c>
      <c r="BR70" s="258">
        <f t="shared" si="174"/>
        <v>0</v>
      </c>
      <c r="BS70" s="460">
        <f t="shared" ref="BS70" si="175">SUM(BK70:BR70)</f>
        <v>0</v>
      </c>
      <c r="BT70" s="466">
        <f t="shared" ref="BT70:CA70" si="176">IF(ABS(BT62)&lt;BT83, -BT62, BT83)</f>
        <v>0</v>
      </c>
      <c r="BU70" s="258">
        <f t="shared" si="176"/>
        <v>0</v>
      </c>
      <c r="BV70" s="258">
        <f t="shared" si="176"/>
        <v>0</v>
      </c>
      <c r="BW70" s="258">
        <f t="shared" si="176"/>
        <v>0</v>
      </c>
      <c r="BX70" s="258">
        <f t="shared" si="176"/>
        <v>0</v>
      </c>
      <c r="BY70" s="258">
        <f t="shared" si="176"/>
        <v>0</v>
      </c>
      <c r="BZ70" s="258">
        <f t="shared" si="176"/>
        <v>0</v>
      </c>
      <c r="CA70" s="258">
        <f t="shared" si="176"/>
        <v>0</v>
      </c>
      <c r="CB70" s="462">
        <f t="shared" ref="CB70" si="177">SUM(BT70:CA70)</f>
        <v>0</v>
      </c>
      <c r="CC70" s="463">
        <f t="shared" ref="CC70" si="178">SUM(CB70,BS70)</f>
        <v>0</v>
      </c>
      <c r="CD70" s="725">
        <v>45</v>
      </c>
      <c r="CE70" s="462">
        <f t="shared" si="144"/>
        <v>0</v>
      </c>
      <c r="CF70" s="462">
        <f t="shared" si="145"/>
        <v>0</v>
      </c>
      <c r="CG70" s="462">
        <f t="shared" si="146"/>
        <v>0</v>
      </c>
      <c r="CH70" s="462">
        <f t="shared" si="147"/>
        <v>0</v>
      </c>
      <c r="CI70" s="464">
        <f t="shared" si="148"/>
        <v>0</v>
      </c>
      <c r="CJ70" s="462">
        <f t="shared" si="149"/>
        <v>0</v>
      </c>
      <c r="CK70" s="462">
        <f t="shared" si="150"/>
        <v>0</v>
      </c>
      <c r="CL70" s="462">
        <f t="shared" si="151"/>
        <v>0</v>
      </c>
      <c r="CM70" s="462">
        <f t="shared" si="152"/>
        <v>0</v>
      </c>
      <c r="CN70" s="464">
        <f t="shared" si="153"/>
        <v>0</v>
      </c>
      <c r="CO70" s="462">
        <f t="shared" si="154"/>
        <v>0</v>
      </c>
      <c r="CP70" s="462">
        <f t="shared" si="155"/>
        <v>0</v>
      </c>
      <c r="CQ70" s="462">
        <f t="shared" si="156"/>
        <v>0</v>
      </c>
      <c r="CR70" s="462">
        <f t="shared" si="157"/>
        <v>0</v>
      </c>
      <c r="CS70" s="464">
        <f t="shared" si="158"/>
        <v>0</v>
      </c>
    </row>
    <row r="71" spans="1:131" ht="15.75" customHeight="1" x14ac:dyDescent="0.25">
      <c r="A71" s="94" t="s">
        <v>514</v>
      </c>
      <c r="B71" s="343">
        <v>46</v>
      </c>
      <c r="C71" s="468">
        <v>31605.545126884826</v>
      </c>
      <c r="D71" s="468">
        <v>59923.126552742906</v>
      </c>
      <c r="E71" s="468">
        <v>35162.523868359691</v>
      </c>
      <c r="F71" s="468">
        <v>68004.58915680724</v>
      </c>
      <c r="G71" s="468">
        <v>33847.02183101415</v>
      </c>
      <c r="H71" s="468">
        <v>67661.408842069184</v>
      </c>
      <c r="I71" s="468">
        <v>35576.185011988018</v>
      </c>
      <c r="J71" s="468">
        <v>69171.519736851609</v>
      </c>
      <c r="K71" s="460">
        <f>SUM(C71:J71)</f>
        <v>400951.9201267176</v>
      </c>
      <c r="L71" s="469">
        <v>0</v>
      </c>
      <c r="M71" s="468">
        <v>139400.13868174114</v>
      </c>
      <c r="N71" s="468">
        <v>0</v>
      </c>
      <c r="O71" s="468">
        <v>136521.29460295517</v>
      </c>
      <c r="P71" s="468">
        <v>0</v>
      </c>
      <c r="Q71" s="468">
        <v>141846.14410515499</v>
      </c>
      <c r="R71" s="468">
        <v>0</v>
      </c>
      <c r="S71" s="468">
        <v>143938.4416219088</v>
      </c>
      <c r="T71" s="462">
        <f>SUM(L71:S71)</f>
        <v>561706.01901176013</v>
      </c>
      <c r="U71" s="463">
        <f>SUM(T71,K71)</f>
        <v>962657.93913847767</v>
      </c>
      <c r="V71" s="343">
        <v>46</v>
      </c>
      <c r="W71" s="468">
        <v>4888.1012916699347</v>
      </c>
      <c r="X71" s="468">
        <v>27310.604871056767</v>
      </c>
      <c r="Y71" s="468">
        <v>5555.8377730252532</v>
      </c>
      <c r="Z71" s="468">
        <v>28473.804478753893</v>
      </c>
      <c r="AA71" s="468">
        <v>4849.144451754144</v>
      </c>
      <c r="AB71" s="468">
        <v>27657.664780249714</v>
      </c>
      <c r="AC71" s="468">
        <v>5221.0200697406226</v>
      </c>
      <c r="AD71" s="468">
        <v>28639.694938406639</v>
      </c>
      <c r="AE71" s="460">
        <f>SUM(W71:AD71)</f>
        <v>132595.87265465697</v>
      </c>
      <c r="AF71" s="469">
        <v>0</v>
      </c>
      <c r="AG71" s="468">
        <v>43126.723404695615</v>
      </c>
      <c r="AH71" s="468">
        <v>0</v>
      </c>
      <c r="AI71" s="468">
        <v>36954.014055076768</v>
      </c>
      <c r="AJ71" s="468">
        <v>0</v>
      </c>
      <c r="AK71" s="468">
        <v>37822.400621520159</v>
      </c>
      <c r="AL71" s="468">
        <v>0</v>
      </c>
      <c r="AM71" s="468">
        <v>37911.61640942793</v>
      </c>
      <c r="AN71" s="462">
        <f>SUM(AF71:AM71)</f>
        <v>155814.75449072046</v>
      </c>
      <c r="AO71" s="463">
        <f>SUM(AN71,AE71)</f>
        <v>288410.62714537745</v>
      </c>
      <c r="AP71" s="343">
        <v>46</v>
      </c>
      <c r="AQ71" s="468">
        <v>524556.26275046507</v>
      </c>
      <c r="AR71" s="468">
        <v>1184464.4793299816</v>
      </c>
      <c r="AS71" s="468">
        <v>613407.58122067712</v>
      </c>
      <c r="AT71" s="468">
        <v>1368702.0194461294</v>
      </c>
      <c r="AU71" s="468">
        <v>616716.19947355625</v>
      </c>
      <c r="AV71" s="468">
        <v>1373282.6174197115</v>
      </c>
      <c r="AW71" s="468">
        <v>677446.5295006641</v>
      </c>
      <c r="AX71" s="468">
        <v>1452856.2051266984</v>
      </c>
      <c r="AY71" s="460">
        <f>SUM(AQ71:AX71)</f>
        <v>7811431.8942678832</v>
      </c>
      <c r="AZ71" s="469">
        <v>0</v>
      </c>
      <c r="BA71" s="468">
        <v>1067087.5410649918</v>
      </c>
      <c r="BB71" s="468">
        <v>0</v>
      </c>
      <c r="BC71" s="468">
        <v>942139.31266493641</v>
      </c>
      <c r="BD71" s="468">
        <v>0</v>
      </c>
      <c r="BE71" s="468">
        <v>1025273.8988215149</v>
      </c>
      <c r="BF71" s="468">
        <v>0</v>
      </c>
      <c r="BG71" s="468">
        <v>1042717.1409127474</v>
      </c>
      <c r="BH71" s="462">
        <f>SUM(AZ71:BG71)</f>
        <v>4077217.8934641909</v>
      </c>
      <c r="BI71" s="463">
        <f>SUM(BH71,AY71)</f>
        <v>11888649.787732074</v>
      </c>
      <c r="BJ71" s="343">
        <v>46</v>
      </c>
      <c r="BK71" s="468">
        <v>10811.381967124853</v>
      </c>
      <c r="BL71" s="468">
        <v>116012.98161453336</v>
      </c>
      <c r="BM71" s="468">
        <v>12714.481683131075</v>
      </c>
      <c r="BN71" s="468">
        <v>125265.41133578494</v>
      </c>
      <c r="BO71" s="468">
        <v>10849.680343594342</v>
      </c>
      <c r="BP71" s="468">
        <v>115443.00762086037</v>
      </c>
      <c r="BQ71" s="468">
        <v>14045.913706406103</v>
      </c>
      <c r="BR71" s="468">
        <v>125518.12667146922</v>
      </c>
      <c r="BS71" s="460">
        <f>SUM(BK71:BR71)</f>
        <v>530660.98494290421</v>
      </c>
      <c r="BT71" s="469">
        <v>0</v>
      </c>
      <c r="BU71" s="468">
        <v>38546.978385872942</v>
      </c>
      <c r="BV71" s="468">
        <v>0</v>
      </c>
      <c r="BW71" s="468">
        <v>35917.535068155958</v>
      </c>
      <c r="BX71" s="468">
        <v>0</v>
      </c>
      <c r="BY71" s="468">
        <v>37225.47387152529</v>
      </c>
      <c r="BZ71" s="468">
        <v>0</v>
      </c>
      <c r="CA71" s="468">
        <v>46006.21051432503</v>
      </c>
      <c r="CB71" s="462">
        <f>SUM(BT71:CA71)</f>
        <v>157696.19783987923</v>
      </c>
      <c r="CC71" s="463">
        <f>SUM(CB71,BS71)</f>
        <v>688357.18278278341</v>
      </c>
      <c r="CD71" s="343">
        <v>46</v>
      </c>
      <c r="CE71" s="462">
        <f t="shared" si="144"/>
        <v>1959572.4835044593</v>
      </c>
      <c r="CF71" s="462">
        <f t="shared" si="145"/>
        <v>2257286.2489626687</v>
      </c>
      <c r="CG71" s="462">
        <f t="shared" si="146"/>
        <v>2250306.7447628095</v>
      </c>
      <c r="CH71" s="462">
        <f t="shared" si="147"/>
        <v>2408475.1947622248</v>
      </c>
      <c r="CI71" s="464">
        <f t="shared" si="148"/>
        <v>8875640.6719921622</v>
      </c>
      <c r="CJ71" s="462">
        <f t="shared" si="149"/>
        <v>1288161.3815373015</v>
      </c>
      <c r="CK71" s="462">
        <f t="shared" si="150"/>
        <v>1151532.1563911242</v>
      </c>
      <c r="CL71" s="462">
        <f t="shared" si="151"/>
        <v>1242167.9174197153</v>
      </c>
      <c r="CM71" s="462">
        <f t="shared" si="152"/>
        <v>1270573.4094584091</v>
      </c>
      <c r="CN71" s="464">
        <f t="shared" si="153"/>
        <v>4952434.8648065506</v>
      </c>
      <c r="CO71" s="462">
        <f t="shared" si="154"/>
        <v>3247733.8650417612</v>
      </c>
      <c r="CP71" s="462">
        <f t="shared" si="155"/>
        <v>3408818.4053537925</v>
      </c>
      <c r="CQ71" s="462">
        <f t="shared" si="156"/>
        <v>3492474.6621825253</v>
      </c>
      <c r="CR71" s="462">
        <f t="shared" si="157"/>
        <v>3679048.6042206339</v>
      </c>
      <c r="CS71" s="464">
        <f t="shared" si="158"/>
        <v>13828075.536798714</v>
      </c>
    </row>
    <row r="72" spans="1:131" s="17" customFormat="1" ht="15.75" customHeight="1" x14ac:dyDescent="0.25">
      <c r="A72" s="111"/>
      <c r="B72" s="343"/>
      <c r="C72" s="207" t="s">
        <v>32</v>
      </c>
      <c r="D72" s="207" t="s">
        <v>32</v>
      </c>
      <c r="E72" s="207" t="s">
        <v>32</v>
      </c>
      <c r="F72" s="207" t="s">
        <v>32</v>
      </c>
      <c r="G72" s="207" t="s">
        <v>32</v>
      </c>
      <c r="H72" s="207" t="s">
        <v>32</v>
      </c>
      <c r="I72" s="207" t="s">
        <v>32</v>
      </c>
      <c r="J72" s="207" t="s">
        <v>32</v>
      </c>
      <c r="K72" s="426"/>
      <c r="L72" s="427" t="s">
        <v>32</v>
      </c>
      <c r="M72" s="207" t="s">
        <v>32</v>
      </c>
      <c r="N72" s="207" t="s">
        <v>32</v>
      </c>
      <c r="O72" s="207" t="s">
        <v>32</v>
      </c>
      <c r="P72" s="207" t="s">
        <v>32</v>
      </c>
      <c r="Q72" s="207" t="s">
        <v>32</v>
      </c>
      <c r="R72" s="207" t="s">
        <v>32</v>
      </c>
      <c r="S72" s="207" t="s">
        <v>32</v>
      </c>
      <c r="T72" s="428"/>
      <c r="U72" s="427" t="s">
        <v>32</v>
      </c>
      <c r="V72" s="343"/>
      <c r="W72" s="207" t="s">
        <v>32</v>
      </c>
      <c r="X72" s="207" t="s">
        <v>32</v>
      </c>
      <c r="Y72" s="207" t="s">
        <v>32</v>
      </c>
      <c r="Z72" s="207" t="s">
        <v>32</v>
      </c>
      <c r="AA72" s="207" t="s">
        <v>32</v>
      </c>
      <c r="AB72" s="207" t="s">
        <v>32</v>
      </c>
      <c r="AC72" s="207" t="s">
        <v>32</v>
      </c>
      <c r="AD72" s="207" t="s">
        <v>32</v>
      </c>
      <c r="AE72" s="426"/>
      <c r="AF72" s="427" t="s">
        <v>32</v>
      </c>
      <c r="AG72" s="207" t="s">
        <v>32</v>
      </c>
      <c r="AH72" s="207" t="s">
        <v>32</v>
      </c>
      <c r="AI72" s="207" t="s">
        <v>32</v>
      </c>
      <c r="AJ72" s="207" t="s">
        <v>32</v>
      </c>
      <c r="AK72" s="207" t="s">
        <v>32</v>
      </c>
      <c r="AL72" s="207" t="s">
        <v>32</v>
      </c>
      <c r="AM72" s="207" t="s">
        <v>32</v>
      </c>
      <c r="AN72" s="428"/>
      <c r="AO72" s="427" t="s">
        <v>32</v>
      </c>
      <c r="AP72" s="343"/>
      <c r="AQ72" s="207" t="s">
        <v>32</v>
      </c>
      <c r="AR72" s="207" t="s">
        <v>32</v>
      </c>
      <c r="AS72" s="207" t="s">
        <v>32</v>
      </c>
      <c r="AT72" s="207" t="s">
        <v>32</v>
      </c>
      <c r="AU72" s="207" t="s">
        <v>32</v>
      </c>
      <c r="AV72" s="207" t="s">
        <v>32</v>
      </c>
      <c r="AW72" s="207" t="s">
        <v>32</v>
      </c>
      <c r="AX72" s="207" t="s">
        <v>32</v>
      </c>
      <c r="AY72" s="426"/>
      <c r="AZ72" s="427" t="s">
        <v>32</v>
      </c>
      <c r="BA72" s="207" t="s">
        <v>32</v>
      </c>
      <c r="BB72" s="207" t="s">
        <v>32</v>
      </c>
      <c r="BC72" s="207" t="s">
        <v>32</v>
      </c>
      <c r="BD72" s="207" t="s">
        <v>32</v>
      </c>
      <c r="BE72" s="207" t="s">
        <v>32</v>
      </c>
      <c r="BF72" s="207" t="s">
        <v>32</v>
      </c>
      <c r="BG72" s="207" t="s">
        <v>32</v>
      </c>
      <c r="BH72" s="428"/>
      <c r="BI72" s="427" t="s">
        <v>32</v>
      </c>
      <c r="BJ72" s="343"/>
      <c r="BK72" s="207" t="s">
        <v>32</v>
      </c>
      <c r="BL72" s="207" t="s">
        <v>32</v>
      </c>
      <c r="BM72" s="207" t="s">
        <v>32</v>
      </c>
      <c r="BN72" s="207" t="s">
        <v>32</v>
      </c>
      <c r="BO72" s="207" t="s">
        <v>32</v>
      </c>
      <c r="BP72" s="207" t="s">
        <v>32</v>
      </c>
      <c r="BQ72" s="207" t="s">
        <v>32</v>
      </c>
      <c r="BR72" s="207" t="s">
        <v>32</v>
      </c>
      <c r="BS72" s="426"/>
      <c r="BT72" s="427" t="s">
        <v>32</v>
      </c>
      <c r="BU72" s="207" t="s">
        <v>32</v>
      </c>
      <c r="BV72" s="207" t="s">
        <v>32</v>
      </c>
      <c r="BW72" s="207" t="s">
        <v>32</v>
      </c>
      <c r="BX72" s="207" t="s">
        <v>32</v>
      </c>
      <c r="BY72" s="207" t="s">
        <v>32</v>
      </c>
      <c r="BZ72" s="207" t="s">
        <v>32</v>
      </c>
      <c r="CA72" s="207" t="s">
        <v>32</v>
      </c>
      <c r="CB72" s="428"/>
      <c r="CC72" s="427" t="s">
        <v>32</v>
      </c>
      <c r="CD72" s="343"/>
      <c r="CE72" s="428"/>
      <c r="CF72" s="428"/>
      <c r="CG72" s="428"/>
      <c r="CH72" s="428"/>
      <c r="CI72" s="207"/>
      <c r="CJ72" s="428"/>
      <c r="CK72" s="428"/>
      <c r="CL72" s="428"/>
      <c r="CM72" s="428"/>
      <c r="CN72" s="207"/>
      <c r="CO72" s="428"/>
      <c r="CP72" s="428"/>
      <c r="CQ72" s="428"/>
      <c r="CR72" s="428"/>
      <c r="CS72" s="207"/>
      <c r="CT72" s="361"/>
      <c r="CU72" s="361"/>
      <c r="CV72" s="361"/>
      <c r="CW72" s="361"/>
      <c r="CX72" s="361"/>
      <c r="CY72" s="361"/>
      <c r="CZ72" s="361"/>
      <c r="DA72" s="361"/>
      <c r="DB72" s="361"/>
      <c r="DC72" s="361"/>
      <c r="DD72" s="361"/>
      <c r="DE72" s="361"/>
      <c r="DF72" s="361"/>
      <c r="DG72" s="361"/>
      <c r="DH72" s="361"/>
      <c r="DI72" s="361"/>
      <c r="DJ72" s="361"/>
      <c r="DK72" s="361"/>
      <c r="DL72" s="361"/>
      <c r="DM72" s="361"/>
      <c r="DN72" s="361"/>
      <c r="DO72" s="361"/>
      <c r="DP72" s="361"/>
      <c r="DQ72" s="361"/>
      <c r="DR72" s="361"/>
      <c r="DS72" s="361"/>
      <c r="DT72" s="361"/>
      <c r="DU72" s="361"/>
      <c r="DV72" s="361"/>
      <c r="DW72" s="361"/>
      <c r="DX72" s="361"/>
      <c r="DY72" s="361"/>
      <c r="DZ72" s="361"/>
      <c r="EA72" s="361"/>
    </row>
    <row r="73" spans="1:131" s="17" customFormat="1" x14ac:dyDescent="0.25">
      <c r="A73" s="19" t="s">
        <v>421</v>
      </c>
      <c r="B73" s="343">
        <v>47</v>
      </c>
      <c r="C73" s="236">
        <f t="shared" ref="C73:U73" si="179">SUM(C69:C71)</f>
        <v>35562.273022969042</v>
      </c>
      <c r="D73" s="236">
        <f t="shared" si="179"/>
        <v>67424.959079280699</v>
      </c>
      <c r="E73" s="236">
        <f t="shared" si="179"/>
        <v>39157.713450117124</v>
      </c>
      <c r="F73" s="236">
        <f t="shared" si="179"/>
        <v>75731.316257743441</v>
      </c>
      <c r="G73" s="236">
        <f t="shared" si="179"/>
        <v>41292.968593213234</v>
      </c>
      <c r="H73" s="236">
        <f t="shared" si="179"/>
        <v>82546.123089861489</v>
      </c>
      <c r="I73" s="236">
        <f t="shared" si="179"/>
        <v>41150.682848989723</v>
      </c>
      <c r="J73" s="236">
        <f t="shared" si="179"/>
        <v>80010.132337535659</v>
      </c>
      <c r="K73" s="241">
        <f t="shared" si="179"/>
        <v>462876.16867971036</v>
      </c>
      <c r="L73" s="238">
        <f t="shared" si="179"/>
        <v>0</v>
      </c>
      <c r="M73" s="236">
        <f t="shared" si="179"/>
        <v>150700.23934962999</v>
      </c>
      <c r="N73" s="236">
        <f t="shared" si="179"/>
        <v>0</v>
      </c>
      <c r="O73" s="236">
        <f t="shared" si="179"/>
        <v>147003.26603888758</v>
      </c>
      <c r="P73" s="236">
        <f t="shared" si="179"/>
        <v>0</v>
      </c>
      <c r="Q73" s="236">
        <f t="shared" si="179"/>
        <v>167748.46974307959</v>
      </c>
      <c r="R73" s="236">
        <f t="shared" si="179"/>
        <v>0</v>
      </c>
      <c r="S73" s="236">
        <f t="shared" si="179"/>
        <v>161494.91012904694</v>
      </c>
      <c r="T73" s="239">
        <f t="shared" si="179"/>
        <v>626946.88526064414</v>
      </c>
      <c r="U73" s="238">
        <f t="shared" si="179"/>
        <v>1089823.0539403544</v>
      </c>
      <c r="V73" s="343">
        <v>47</v>
      </c>
      <c r="W73" s="236">
        <f t="shared" ref="W73:AO73" si="180">SUM(W69:W71)</f>
        <v>5500.0472860196314</v>
      </c>
      <c r="X73" s="236">
        <f t="shared" si="180"/>
        <v>30729.645160297769</v>
      </c>
      <c r="Y73" s="236">
        <f t="shared" si="180"/>
        <v>6187.0957928370253</v>
      </c>
      <c r="Z73" s="236">
        <f t="shared" si="180"/>
        <v>31709.017270429489</v>
      </c>
      <c r="AA73" s="236">
        <f t="shared" si="180"/>
        <v>5915.8992052518333</v>
      </c>
      <c r="AB73" s="236">
        <f t="shared" si="180"/>
        <v>33742.025778055046</v>
      </c>
      <c r="AC73" s="236">
        <f t="shared" si="180"/>
        <v>6039.1113034101209</v>
      </c>
      <c r="AD73" s="236">
        <f t="shared" si="180"/>
        <v>33127.301392913752</v>
      </c>
      <c r="AE73" s="241">
        <f t="shared" si="180"/>
        <v>152950.14318921466</v>
      </c>
      <c r="AF73" s="238">
        <f t="shared" si="180"/>
        <v>0</v>
      </c>
      <c r="AG73" s="236">
        <f t="shared" si="180"/>
        <v>46622.676282202265</v>
      </c>
      <c r="AH73" s="236">
        <f t="shared" si="180"/>
        <v>0</v>
      </c>
      <c r="AI73" s="236">
        <f t="shared" si="180"/>
        <v>39791.307100787271</v>
      </c>
      <c r="AJ73" s="236">
        <f t="shared" si="180"/>
        <v>0</v>
      </c>
      <c r="AK73" s="236">
        <f t="shared" si="180"/>
        <v>44729.096206987633</v>
      </c>
      <c r="AL73" s="236">
        <f t="shared" si="180"/>
        <v>0</v>
      </c>
      <c r="AM73" s="236">
        <f t="shared" si="180"/>
        <v>42535.774431752332</v>
      </c>
      <c r="AN73" s="239">
        <f t="shared" si="180"/>
        <v>173678.85402172949</v>
      </c>
      <c r="AO73" s="238">
        <f t="shared" si="180"/>
        <v>326628.99721094419</v>
      </c>
      <c r="AP73" s="343">
        <v>47</v>
      </c>
      <c r="AQ73" s="236">
        <f t="shared" ref="AQ73:BI73" si="181">SUM(AQ69:AQ71)</f>
        <v>590225.95424156135</v>
      </c>
      <c r="AR73" s="236">
        <f t="shared" si="181"/>
        <v>1332748.7006104812</v>
      </c>
      <c r="AS73" s="236">
        <f t="shared" si="181"/>
        <v>683103.36264520313</v>
      </c>
      <c r="AT73" s="236">
        <f t="shared" si="181"/>
        <v>1524214.8622981755</v>
      </c>
      <c r="AU73" s="236">
        <f t="shared" si="181"/>
        <v>752386.51078165928</v>
      </c>
      <c r="AV73" s="236">
        <f t="shared" si="181"/>
        <v>1675388.6434627776</v>
      </c>
      <c r="AW73" s="236">
        <f t="shared" si="181"/>
        <v>783596.87170608132</v>
      </c>
      <c r="AX73" s="236">
        <f t="shared" si="181"/>
        <v>1680506.9150109708</v>
      </c>
      <c r="AY73" s="241">
        <f t="shared" si="181"/>
        <v>9022171.8207569104</v>
      </c>
      <c r="AZ73" s="238">
        <f t="shared" si="181"/>
        <v>0</v>
      </c>
      <c r="BA73" s="236">
        <f t="shared" si="181"/>
        <v>1153588.148234501</v>
      </c>
      <c r="BB73" s="236">
        <f t="shared" si="181"/>
        <v>0</v>
      </c>
      <c r="BC73" s="236">
        <f t="shared" si="181"/>
        <v>1014475.8473626457</v>
      </c>
      <c r="BD73" s="236">
        <f t="shared" si="181"/>
        <v>0</v>
      </c>
      <c r="BE73" s="236">
        <f t="shared" si="181"/>
        <v>1212497.7289994571</v>
      </c>
      <c r="BF73" s="236">
        <f t="shared" si="181"/>
        <v>0</v>
      </c>
      <c r="BG73" s="236">
        <f t="shared" si="181"/>
        <v>1169899.5005382204</v>
      </c>
      <c r="BH73" s="239">
        <f t="shared" si="181"/>
        <v>4550461.2251348244</v>
      </c>
      <c r="BI73" s="238">
        <f t="shared" si="181"/>
        <v>13572633.045891734</v>
      </c>
      <c r="BJ73" s="343">
        <v>47</v>
      </c>
      <c r="BK73" s="236">
        <f t="shared" ref="BK73:CC73" si="182">SUM(BK69:BK71)</f>
        <v>12164.8690357012</v>
      </c>
      <c r="BL73" s="236">
        <f t="shared" si="182"/>
        <v>130536.75580729869</v>
      </c>
      <c r="BM73" s="236">
        <f t="shared" si="182"/>
        <v>14159.109632707796</v>
      </c>
      <c r="BN73" s="236">
        <f t="shared" si="182"/>
        <v>139498.15151669146</v>
      </c>
      <c r="BO73" s="236">
        <f t="shared" si="182"/>
        <v>13236.482427057315</v>
      </c>
      <c r="BP73" s="236">
        <f t="shared" si="182"/>
        <v>140839.11168888301</v>
      </c>
      <c r="BQ73" s="236">
        <f t="shared" si="182"/>
        <v>16246.793748734679</v>
      </c>
      <c r="BR73" s="236">
        <f t="shared" si="182"/>
        <v>145185.79270701617</v>
      </c>
      <c r="BS73" s="241">
        <f t="shared" si="182"/>
        <v>611867.06656409032</v>
      </c>
      <c r="BT73" s="238">
        <f t="shared" si="182"/>
        <v>0</v>
      </c>
      <c r="BU73" s="236">
        <f t="shared" si="182"/>
        <v>41671.68644084673</v>
      </c>
      <c r="BV73" s="236">
        <f t="shared" si="182"/>
        <v>0</v>
      </c>
      <c r="BW73" s="236">
        <f t="shared" si="182"/>
        <v>38675.248271275275</v>
      </c>
      <c r="BX73" s="236">
        <f t="shared" si="182"/>
        <v>0</v>
      </c>
      <c r="BY73" s="236">
        <f t="shared" si="182"/>
        <v>44023.165499515482</v>
      </c>
      <c r="BZ73" s="236">
        <f t="shared" si="182"/>
        <v>0</v>
      </c>
      <c r="CA73" s="236">
        <f t="shared" si="182"/>
        <v>51617.682869633441</v>
      </c>
      <c r="CB73" s="239">
        <f t="shared" si="182"/>
        <v>175987.78308127093</v>
      </c>
      <c r="CC73" s="238">
        <f t="shared" si="182"/>
        <v>787854.84964536119</v>
      </c>
      <c r="CD73" s="343">
        <v>47</v>
      </c>
      <c r="CE73" s="239">
        <f>SUM(CE69:CE71)</f>
        <v>2204893.2042436097</v>
      </c>
      <c r="CF73" s="239">
        <f>SUM(CF69:CF71)</f>
        <v>2513760.6288639051</v>
      </c>
      <c r="CG73" s="239">
        <f>SUM(CG69:CG71)</f>
        <v>2745347.7650267584</v>
      </c>
      <c r="CH73" s="239">
        <f>SUM(CH69:CH71)</f>
        <v>2785863.6010556524</v>
      </c>
      <c r="CI73" s="236">
        <f>SUM(BS73,AY73,AE73,K73)</f>
        <v>10249865.199189926</v>
      </c>
      <c r="CJ73" s="239">
        <f>SUM(CJ69:CJ71)</f>
        <v>1392582.75030718</v>
      </c>
      <c r="CK73" s="239">
        <f>SUM(CK69:CK71)</f>
        <v>1239945.6687735957</v>
      </c>
      <c r="CL73" s="239">
        <f>SUM(CL69:CL71)</f>
        <v>1468998.4604490397</v>
      </c>
      <c r="CM73" s="239">
        <f>SUM(CM69:CM71)</f>
        <v>1425547.8679686531</v>
      </c>
      <c r="CN73" s="236">
        <f>SUM(BX73,BD73,AJ73,P73)</f>
        <v>0</v>
      </c>
      <c r="CO73" s="239">
        <f>SUM(CO69:CO71)</f>
        <v>3597475.9545507901</v>
      </c>
      <c r="CP73" s="239">
        <f>SUM(CP69:CP71)</f>
        <v>3753706.2976375003</v>
      </c>
      <c r="CQ73" s="239">
        <f>SUM(CQ69:CQ71)</f>
        <v>4214346.2254757984</v>
      </c>
      <c r="CR73" s="239">
        <f>SUM(CR69:CR71)</f>
        <v>4211411.4690243052</v>
      </c>
      <c r="CS73" s="236">
        <f>SUM(CC73,BI73,AO73,U73)</f>
        <v>15776939.946688393</v>
      </c>
      <c r="CT73" s="361"/>
      <c r="CU73" s="361"/>
      <c r="CV73" s="361"/>
      <c r="CW73" s="361"/>
      <c r="CX73" s="361"/>
      <c r="CY73" s="361"/>
      <c r="CZ73" s="361"/>
      <c r="DA73" s="361"/>
      <c r="DB73" s="361"/>
      <c r="DC73" s="361"/>
      <c r="DD73" s="361"/>
      <c r="DE73" s="361"/>
      <c r="DF73" s="361"/>
      <c r="DG73" s="361"/>
      <c r="DH73" s="361"/>
      <c r="DI73" s="361"/>
      <c r="DJ73" s="361"/>
      <c r="DK73" s="361"/>
      <c r="DL73" s="361"/>
      <c r="DM73" s="361"/>
      <c r="DN73" s="361"/>
      <c r="DO73" s="361"/>
      <c r="DP73" s="361"/>
      <c r="DQ73" s="361"/>
      <c r="DR73" s="361"/>
      <c r="DS73" s="361"/>
      <c r="DT73" s="361"/>
      <c r="DU73" s="361"/>
      <c r="DV73" s="361"/>
      <c r="DW73" s="361"/>
      <c r="DX73" s="361"/>
      <c r="DY73" s="361"/>
      <c r="DZ73" s="361"/>
      <c r="EA73" s="361"/>
    </row>
    <row r="74" spans="1:131" ht="15.75" customHeight="1" x14ac:dyDescent="0.25">
      <c r="B74" s="343"/>
      <c r="C74" s="198"/>
      <c r="D74" s="198"/>
      <c r="E74" s="198"/>
      <c r="F74" s="198"/>
      <c r="G74" s="198"/>
      <c r="H74" s="198"/>
      <c r="I74" s="198"/>
      <c r="J74" s="198"/>
      <c r="K74" s="429"/>
      <c r="L74" s="430"/>
      <c r="M74" s="198"/>
      <c r="N74" s="198"/>
      <c r="O74" s="198"/>
      <c r="P74" s="198"/>
      <c r="Q74" s="198"/>
      <c r="R74" s="198"/>
      <c r="S74" s="198"/>
      <c r="T74" s="198"/>
      <c r="U74" s="431"/>
      <c r="V74" s="343"/>
      <c r="W74" s="198"/>
      <c r="X74" s="198"/>
      <c r="Y74" s="198"/>
      <c r="Z74" s="198"/>
      <c r="AA74" s="198"/>
      <c r="AB74" s="198"/>
      <c r="AC74" s="198"/>
      <c r="AD74" s="198"/>
      <c r="AE74" s="429"/>
      <c r="AF74" s="430"/>
      <c r="AG74" s="198"/>
      <c r="AH74" s="198"/>
      <c r="AI74" s="198"/>
      <c r="AJ74" s="198"/>
      <c r="AK74" s="198"/>
      <c r="AL74" s="198"/>
      <c r="AM74" s="198"/>
      <c r="AN74" s="198"/>
      <c r="AO74" s="431"/>
      <c r="AP74" s="343"/>
      <c r="AQ74" s="198"/>
      <c r="AR74" s="198"/>
      <c r="AS74" s="198"/>
      <c r="AT74" s="198"/>
      <c r="AU74" s="198"/>
      <c r="AV74" s="198"/>
      <c r="AW74" s="198"/>
      <c r="AX74" s="198"/>
      <c r="AY74" s="429"/>
      <c r="AZ74" s="430"/>
      <c r="BA74" s="198"/>
      <c r="BB74" s="198"/>
      <c r="BC74" s="198"/>
      <c r="BD74" s="198"/>
      <c r="BE74" s="198"/>
      <c r="BF74" s="198"/>
      <c r="BG74" s="198"/>
      <c r="BH74" s="198"/>
      <c r="BI74" s="431"/>
      <c r="BJ74" s="343"/>
      <c r="BK74" s="198"/>
      <c r="BL74" s="198"/>
      <c r="BM74" s="198"/>
      <c r="BN74" s="198"/>
      <c r="BO74" s="198"/>
      <c r="BP74" s="198"/>
      <c r="BQ74" s="198"/>
      <c r="BR74" s="198"/>
      <c r="BS74" s="429"/>
      <c r="BT74" s="430"/>
      <c r="BU74" s="198"/>
      <c r="BV74" s="198"/>
      <c r="BW74" s="198"/>
      <c r="BX74" s="198"/>
      <c r="BY74" s="198"/>
      <c r="BZ74" s="198"/>
      <c r="CA74" s="198"/>
      <c r="CB74" s="198"/>
      <c r="CC74" s="431"/>
      <c r="CD74" s="343"/>
      <c r="CE74" s="198"/>
      <c r="CF74" s="198"/>
      <c r="CG74" s="198"/>
      <c r="CH74" s="198"/>
      <c r="CI74" s="467"/>
      <c r="CJ74" s="198"/>
      <c r="CK74" s="198"/>
      <c r="CL74" s="198"/>
      <c r="CM74" s="198"/>
      <c r="CN74" s="467"/>
      <c r="CO74" s="198"/>
      <c r="CP74" s="198"/>
      <c r="CQ74" s="198"/>
      <c r="CR74" s="198"/>
      <c r="CS74" s="467"/>
    </row>
    <row r="75" spans="1:131" ht="15.75" customHeight="1" x14ac:dyDescent="0.25">
      <c r="A75" s="19" t="s">
        <v>422</v>
      </c>
      <c r="B75" s="343"/>
      <c r="C75" s="198"/>
      <c r="D75" s="198"/>
      <c r="E75" s="198"/>
      <c r="F75" s="198"/>
      <c r="G75" s="198"/>
      <c r="H75" s="198"/>
      <c r="I75" s="198"/>
      <c r="J75" s="198"/>
      <c r="K75" s="429"/>
      <c r="L75" s="430"/>
      <c r="M75" s="198"/>
      <c r="N75" s="198"/>
      <c r="O75" s="198"/>
      <c r="P75" s="198"/>
      <c r="Q75" s="198"/>
      <c r="R75" s="198"/>
      <c r="S75" s="198"/>
      <c r="T75" s="198"/>
      <c r="U75" s="431"/>
      <c r="V75" s="343"/>
      <c r="W75" s="198"/>
      <c r="X75" s="198"/>
      <c r="Y75" s="198"/>
      <c r="Z75" s="198"/>
      <c r="AA75" s="198"/>
      <c r="AB75" s="198"/>
      <c r="AC75" s="198"/>
      <c r="AD75" s="198"/>
      <c r="AE75" s="429"/>
      <c r="AF75" s="430"/>
      <c r="AG75" s="198"/>
      <c r="AH75" s="198"/>
      <c r="AI75" s="198"/>
      <c r="AJ75" s="198"/>
      <c r="AK75" s="198"/>
      <c r="AL75" s="198"/>
      <c r="AM75" s="198"/>
      <c r="AN75" s="198"/>
      <c r="AO75" s="431"/>
      <c r="AP75" s="343"/>
      <c r="AQ75" s="198"/>
      <c r="AR75" s="198"/>
      <c r="AS75" s="198"/>
      <c r="AT75" s="198"/>
      <c r="AU75" s="198"/>
      <c r="AV75" s="198"/>
      <c r="AW75" s="198"/>
      <c r="AX75" s="198"/>
      <c r="AY75" s="429"/>
      <c r="AZ75" s="430"/>
      <c r="BA75" s="198"/>
      <c r="BB75" s="198"/>
      <c r="BC75" s="198"/>
      <c r="BD75" s="198"/>
      <c r="BE75" s="198"/>
      <c r="BF75" s="198"/>
      <c r="BG75" s="198"/>
      <c r="BH75" s="198"/>
      <c r="BI75" s="431"/>
      <c r="BJ75" s="343"/>
      <c r="BK75" s="198"/>
      <c r="BL75" s="198"/>
      <c r="BM75" s="198"/>
      <c r="BN75" s="198"/>
      <c r="BO75" s="198"/>
      <c r="BP75" s="198"/>
      <c r="BQ75" s="198"/>
      <c r="BR75" s="198"/>
      <c r="BS75" s="429"/>
      <c r="BT75" s="430"/>
      <c r="BU75" s="198"/>
      <c r="BV75" s="198"/>
      <c r="BW75" s="198"/>
      <c r="BX75" s="198"/>
      <c r="BY75" s="198"/>
      <c r="BZ75" s="198"/>
      <c r="CA75" s="198"/>
      <c r="CB75" s="198"/>
      <c r="CC75" s="431"/>
      <c r="CD75" s="343"/>
      <c r="CE75" s="198"/>
      <c r="CF75" s="198"/>
      <c r="CG75" s="198"/>
      <c r="CH75" s="198"/>
      <c r="CI75" s="467"/>
      <c r="CJ75" s="198"/>
      <c r="CK75" s="198"/>
      <c r="CL75" s="198"/>
      <c r="CM75" s="198"/>
      <c r="CN75" s="467"/>
      <c r="CO75" s="198"/>
      <c r="CP75" s="198"/>
      <c r="CQ75" s="198"/>
      <c r="CR75" s="198"/>
      <c r="CS75" s="467"/>
    </row>
    <row r="76" spans="1:131" s="17" customFormat="1" ht="15.75" customHeight="1" x14ac:dyDescent="0.25">
      <c r="A76" s="94" t="s">
        <v>258</v>
      </c>
      <c r="B76" s="343">
        <v>48</v>
      </c>
      <c r="C76" s="468"/>
      <c r="D76" s="468"/>
      <c r="E76" s="468"/>
      <c r="F76" s="468"/>
      <c r="G76" s="468"/>
      <c r="H76" s="468"/>
      <c r="I76" s="468"/>
      <c r="J76" s="468"/>
      <c r="K76" s="460">
        <f t="shared" ref="K76:K86" si="183">SUM(C76:J76)</f>
        <v>0</v>
      </c>
      <c r="L76" s="469"/>
      <c r="M76" s="468"/>
      <c r="N76" s="468"/>
      <c r="O76" s="468"/>
      <c r="P76" s="468"/>
      <c r="Q76" s="468"/>
      <c r="R76" s="468"/>
      <c r="S76" s="468"/>
      <c r="T76" s="462">
        <f t="shared" ref="T76:T86" si="184">SUM(L76:S76)</f>
        <v>0</v>
      </c>
      <c r="U76" s="463">
        <f t="shared" ref="U76:U86" si="185">SUM(T76,K76)</f>
        <v>0</v>
      </c>
      <c r="V76" s="343">
        <v>48</v>
      </c>
      <c r="W76" s="468"/>
      <c r="X76" s="468"/>
      <c r="Y76" s="468"/>
      <c r="Z76" s="468"/>
      <c r="AA76" s="468"/>
      <c r="AB76" s="468"/>
      <c r="AC76" s="468"/>
      <c r="AD76" s="468"/>
      <c r="AE76" s="460">
        <f t="shared" ref="AE76:AE86" si="186">SUM(W76:AD76)</f>
        <v>0</v>
      </c>
      <c r="AF76" s="469"/>
      <c r="AG76" s="468"/>
      <c r="AH76" s="468"/>
      <c r="AI76" s="468"/>
      <c r="AJ76" s="468"/>
      <c r="AK76" s="468"/>
      <c r="AL76" s="468"/>
      <c r="AM76" s="468"/>
      <c r="AN76" s="462">
        <f t="shared" ref="AN76:AN86" si="187">SUM(AF76:AM76)</f>
        <v>0</v>
      </c>
      <c r="AO76" s="463">
        <f t="shared" ref="AO76:AO86" si="188">SUM(AN76,AE76)</f>
        <v>0</v>
      </c>
      <c r="AP76" s="343">
        <v>48</v>
      </c>
      <c r="AQ76" s="468"/>
      <c r="AR76" s="468"/>
      <c r="AS76" s="468"/>
      <c r="AT76" s="468"/>
      <c r="AU76" s="468"/>
      <c r="AV76" s="468"/>
      <c r="AW76" s="468"/>
      <c r="AX76" s="468"/>
      <c r="AY76" s="460">
        <f t="shared" ref="AY76:AY86" si="189">SUM(AQ76:AX76)</f>
        <v>0</v>
      </c>
      <c r="AZ76" s="469"/>
      <c r="BA76" s="468"/>
      <c r="BB76" s="468"/>
      <c r="BC76" s="468"/>
      <c r="BD76" s="468"/>
      <c r="BE76" s="468"/>
      <c r="BF76" s="468"/>
      <c r="BG76" s="468"/>
      <c r="BH76" s="462">
        <f t="shared" ref="BH76:BH86" si="190">SUM(AZ76:BG76)</f>
        <v>0</v>
      </c>
      <c r="BI76" s="463">
        <f t="shared" ref="BI76:BI86" si="191">SUM(BH76,AY76)</f>
        <v>0</v>
      </c>
      <c r="BJ76" s="343">
        <v>48</v>
      </c>
      <c r="BK76" s="468"/>
      <c r="BL76" s="468"/>
      <c r="BM76" s="468"/>
      <c r="BN76" s="468"/>
      <c r="BO76" s="468"/>
      <c r="BP76" s="468"/>
      <c r="BQ76" s="468"/>
      <c r="BR76" s="468"/>
      <c r="BS76" s="460">
        <f t="shared" ref="BS76:BS86" si="192">SUM(BK76:BR76)</f>
        <v>0</v>
      </c>
      <c r="BT76" s="469"/>
      <c r="BU76" s="468"/>
      <c r="BV76" s="468"/>
      <c r="BW76" s="468"/>
      <c r="BX76" s="468"/>
      <c r="BY76" s="468"/>
      <c r="BZ76" s="468"/>
      <c r="CA76" s="468"/>
      <c r="CB76" s="462">
        <f t="shared" ref="CB76:CB86" si="193">SUM(BT76:CA76)</f>
        <v>0</v>
      </c>
      <c r="CC76" s="463">
        <f t="shared" ref="CC76:CC86" si="194">SUM(CB76,BS76)</f>
        <v>0</v>
      </c>
      <c r="CD76" s="343">
        <v>48</v>
      </c>
      <c r="CE76" s="462">
        <f t="shared" ref="CE76:CE86" si="195">+C76+D76+W76+X76+AQ76+AR76+BK76+BL76</f>
        <v>0</v>
      </c>
      <c r="CF76" s="462">
        <f t="shared" ref="CF76:CF86" si="196">+E76+F76+Y76+Z76+AS76+AT76+BM76+BN76</f>
        <v>0</v>
      </c>
      <c r="CG76" s="462">
        <f t="shared" ref="CG76:CG86" si="197">+G76+H76+AA76+AB76+AU76+AV76+BO76+BP76</f>
        <v>0</v>
      </c>
      <c r="CH76" s="462">
        <f t="shared" ref="CH76:CH86" si="198">+I76+J76+AC76+AD76+AW76+AX76+BQ76+BR76</f>
        <v>0</v>
      </c>
      <c r="CI76" s="464">
        <f t="shared" ref="CI76:CI86" si="199">SUM(K76,AE76,AY76,BS76)</f>
        <v>0</v>
      </c>
      <c r="CJ76" s="462">
        <f t="shared" ref="CJ76:CJ86" si="200">L76+M76+AF76+AG76+AZ76+BA76+BT76+BU76</f>
        <v>0</v>
      </c>
      <c r="CK76" s="462">
        <f t="shared" ref="CK76:CK86" si="201">N76+O76+AH76+AI76+BB76+BC76+BV76+BW76</f>
        <v>0</v>
      </c>
      <c r="CL76" s="462">
        <f t="shared" ref="CL76:CL86" si="202">P76+Q76+AJ76+AK76+BD76+BE76+BX76+BY76</f>
        <v>0</v>
      </c>
      <c r="CM76" s="462">
        <f t="shared" ref="CM76:CM86" si="203">+R76+S76+AL76+AM76+BF76+BG76+BZ76+CA76</f>
        <v>0</v>
      </c>
      <c r="CN76" s="464">
        <f t="shared" ref="CN76:CN86" si="204">SUM(T76,AN76,BH76,CB76)</f>
        <v>0</v>
      </c>
      <c r="CO76" s="462">
        <f t="shared" ref="CO76:CO86" si="205">+C76+D76+L76+M76+W76+X76+AF76+AG76+AQ76+AR76+AZ76+BA76+BK76+BL76+BT76+BU76</f>
        <v>0</v>
      </c>
      <c r="CP76" s="462">
        <f t="shared" ref="CP76:CP86" si="206">+E76+F76+N76+O76+Y76+Z76+AH76+AI76+AS76+AT76+BB76+BC76+BM76+BN76+BV76+BW76</f>
        <v>0</v>
      </c>
      <c r="CQ76" s="462">
        <f t="shared" ref="CQ76:CQ86" si="207">+G76+H76+P76+Q76+AA76+AB76+AJ76+AK76+AU76+AV76+BD76+BE76+BO76+BP76+BX76+BY76</f>
        <v>0</v>
      </c>
      <c r="CR76" s="462">
        <f t="shared" ref="CR76:CR86" si="208">+I76+J76+R76+S76+AC76+AD76+AL76+AM76+AW76+AX76+BF76+BG76+BQ76+BR76+BZ76+CA76</f>
        <v>0</v>
      </c>
      <c r="CS76" s="464">
        <f t="shared" ref="CS76:CS86" si="209">SUM(CC76,BI76,AO76,U76)</f>
        <v>0</v>
      </c>
      <c r="CT76" s="361"/>
      <c r="CU76" s="361"/>
      <c r="CV76" s="361"/>
      <c r="CW76" s="361"/>
      <c r="CX76" s="361"/>
      <c r="CY76" s="361"/>
      <c r="CZ76" s="361"/>
      <c r="DA76" s="361"/>
      <c r="DB76" s="361"/>
      <c r="DC76" s="361"/>
      <c r="DD76" s="361"/>
      <c r="DE76" s="361"/>
      <c r="DF76" s="361"/>
      <c r="DG76" s="361"/>
      <c r="DH76" s="361"/>
      <c r="DI76" s="361"/>
      <c r="DJ76" s="361"/>
      <c r="DK76" s="361"/>
      <c r="DL76" s="361"/>
      <c r="DM76" s="361"/>
      <c r="DN76" s="361"/>
      <c r="DO76" s="361"/>
      <c r="DP76" s="361"/>
      <c r="DQ76" s="361"/>
      <c r="DR76" s="361"/>
      <c r="DS76" s="361"/>
      <c r="DT76" s="361"/>
      <c r="DU76" s="361"/>
      <c r="DV76" s="361"/>
      <c r="DW76" s="361"/>
      <c r="DX76" s="361"/>
      <c r="DY76" s="361"/>
      <c r="DZ76" s="361"/>
      <c r="EA76" s="361"/>
    </row>
    <row r="77" spans="1:131" ht="15.75" customHeight="1" x14ac:dyDescent="0.25">
      <c r="A77" s="94" t="s">
        <v>330</v>
      </c>
      <c r="B77" s="343">
        <v>49</v>
      </c>
      <c r="C77" s="468"/>
      <c r="D77" s="468"/>
      <c r="E77" s="468"/>
      <c r="F77" s="468"/>
      <c r="G77" s="468"/>
      <c r="H77" s="468"/>
      <c r="I77" s="468"/>
      <c r="J77" s="468"/>
      <c r="K77" s="460">
        <f t="shared" si="183"/>
        <v>0</v>
      </c>
      <c r="L77" s="469"/>
      <c r="M77" s="468"/>
      <c r="N77" s="468"/>
      <c r="O77" s="468"/>
      <c r="P77" s="468"/>
      <c r="Q77" s="468"/>
      <c r="R77" s="468"/>
      <c r="S77" s="468"/>
      <c r="T77" s="462">
        <f t="shared" si="184"/>
        <v>0</v>
      </c>
      <c r="U77" s="463">
        <f t="shared" si="185"/>
        <v>0</v>
      </c>
      <c r="V77" s="343">
        <v>49</v>
      </c>
      <c r="W77" s="468"/>
      <c r="X77" s="468"/>
      <c r="Y77" s="468"/>
      <c r="Z77" s="468"/>
      <c r="AA77" s="468"/>
      <c r="AB77" s="468"/>
      <c r="AC77" s="468"/>
      <c r="AD77" s="468"/>
      <c r="AE77" s="460">
        <f t="shared" si="186"/>
        <v>0</v>
      </c>
      <c r="AF77" s="469"/>
      <c r="AG77" s="468"/>
      <c r="AH77" s="468"/>
      <c r="AI77" s="468"/>
      <c r="AJ77" s="468"/>
      <c r="AK77" s="468"/>
      <c r="AL77" s="468"/>
      <c r="AM77" s="468"/>
      <c r="AN77" s="462">
        <f t="shared" si="187"/>
        <v>0</v>
      </c>
      <c r="AO77" s="463">
        <f t="shared" si="188"/>
        <v>0</v>
      </c>
      <c r="AP77" s="343">
        <v>49</v>
      </c>
      <c r="AQ77" s="468"/>
      <c r="AR77" s="468"/>
      <c r="AS77" s="468"/>
      <c r="AT77" s="468"/>
      <c r="AU77" s="468"/>
      <c r="AV77" s="468"/>
      <c r="AW77" s="468"/>
      <c r="AX77" s="468"/>
      <c r="AY77" s="460">
        <f t="shared" si="189"/>
        <v>0</v>
      </c>
      <c r="AZ77" s="469"/>
      <c r="BA77" s="468"/>
      <c r="BB77" s="468"/>
      <c r="BC77" s="468"/>
      <c r="BD77" s="468"/>
      <c r="BE77" s="468"/>
      <c r="BF77" s="468"/>
      <c r="BG77" s="468"/>
      <c r="BH77" s="462">
        <f t="shared" si="190"/>
        <v>0</v>
      </c>
      <c r="BI77" s="463">
        <f t="shared" si="191"/>
        <v>0</v>
      </c>
      <c r="BJ77" s="343">
        <v>49</v>
      </c>
      <c r="BK77" s="468"/>
      <c r="BL77" s="468"/>
      <c r="BM77" s="468"/>
      <c r="BN77" s="468"/>
      <c r="BO77" s="468"/>
      <c r="BP77" s="468"/>
      <c r="BQ77" s="468"/>
      <c r="BR77" s="468"/>
      <c r="BS77" s="460">
        <f t="shared" si="192"/>
        <v>0</v>
      </c>
      <c r="BT77" s="469"/>
      <c r="BU77" s="468"/>
      <c r="BV77" s="468"/>
      <c r="BW77" s="468"/>
      <c r="BX77" s="468"/>
      <c r="BY77" s="468"/>
      <c r="BZ77" s="468"/>
      <c r="CA77" s="468"/>
      <c r="CB77" s="462">
        <f t="shared" si="193"/>
        <v>0</v>
      </c>
      <c r="CC77" s="463">
        <f t="shared" si="194"/>
        <v>0</v>
      </c>
      <c r="CD77" s="343">
        <v>49</v>
      </c>
      <c r="CE77" s="462">
        <f t="shared" si="195"/>
        <v>0</v>
      </c>
      <c r="CF77" s="462">
        <f t="shared" si="196"/>
        <v>0</v>
      </c>
      <c r="CG77" s="462">
        <f t="shared" si="197"/>
        <v>0</v>
      </c>
      <c r="CH77" s="462">
        <f t="shared" si="198"/>
        <v>0</v>
      </c>
      <c r="CI77" s="464">
        <f t="shared" si="199"/>
        <v>0</v>
      </c>
      <c r="CJ77" s="462">
        <f t="shared" si="200"/>
        <v>0</v>
      </c>
      <c r="CK77" s="462">
        <f t="shared" si="201"/>
        <v>0</v>
      </c>
      <c r="CL77" s="462">
        <f t="shared" si="202"/>
        <v>0</v>
      </c>
      <c r="CM77" s="462">
        <f t="shared" si="203"/>
        <v>0</v>
      </c>
      <c r="CN77" s="464">
        <f t="shared" si="204"/>
        <v>0</v>
      </c>
      <c r="CO77" s="462">
        <f t="shared" si="205"/>
        <v>0</v>
      </c>
      <c r="CP77" s="462">
        <f t="shared" si="206"/>
        <v>0</v>
      </c>
      <c r="CQ77" s="462">
        <f t="shared" si="207"/>
        <v>0</v>
      </c>
      <c r="CR77" s="462">
        <f t="shared" si="208"/>
        <v>0</v>
      </c>
      <c r="CS77" s="464">
        <f t="shared" si="209"/>
        <v>0</v>
      </c>
    </row>
    <row r="78" spans="1:131" ht="15.75" customHeight="1" x14ac:dyDescent="0.25">
      <c r="A78" s="94" t="s">
        <v>1332</v>
      </c>
      <c r="B78" s="343">
        <v>50</v>
      </c>
      <c r="C78" s="468"/>
      <c r="D78" s="468"/>
      <c r="E78" s="468"/>
      <c r="F78" s="468"/>
      <c r="G78" s="468"/>
      <c r="H78" s="468"/>
      <c r="I78" s="468"/>
      <c r="J78" s="468"/>
      <c r="K78" s="460">
        <f t="shared" si="183"/>
        <v>0</v>
      </c>
      <c r="L78" s="469"/>
      <c r="M78" s="468"/>
      <c r="N78" s="468"/>
      <c r="O78" s="468"/>
      <c r="P78" s="468"/>
      <c r="Q78" s="468"/>
      <c r="R78" s="468"/>
      <c r="S78" s="468"/>
      <c r="T78" s="462">
        <f t="shared" si="184"/>
        <v>0</v>
      </c>
      <c r="U78" s="463">
        <f t="shared" si="185"/>
        <v>0</v>
      </c>
      <c r="V78" s="343">
        <v>50</v>
      </c>
      <c r="W78" s="468"/>
      <c r="X78" s="468"/>
      <c r="Y78" s="468"/>
      <c r="Z78" s="468"/>
      <c r="AA78" s="468"/>
      <c r="AB78" s="468"/>
      <c r="AC78" s="468"/>
      <c r="AD78" s="468"/>
      <c r="AE78" s="460">
        <f t="shared" si="186"/>
        <v>0</v>
      </c>
      <c r="AF78" s="469"/>
      <c r="AG78" s="468"/>
      <c r="AH78" s="468"/>
      <c r="AI78" s="468"/>
      <c r="AJ78" s="468"/>
      <c r="AK78" s="468"/>
      <c r="AL78" s="468"/>
      <c r="AM78" s="468"/>
      <c r="AN78" s="462">
        <f t="shared" si="187"/>
        <v>0</v>
      </c>
      <c r="AO78" s="463">
        <f t="shared" si="188"/>
        <v>0</v>
      </c>
      <c r="AP78" s="343">
        <v>50</v>
      </c>
      <c r="AQ78" s="468"/>
      <c r="AR78" s="468"/>
      <c r="AS78" s="468"/>
      <c r="AT78" s="468"/>
      <c r="AU78" s="468"/>
      <c r="AV78" s="468"/>
      <c r="AW78" s="468"/>
      <c r="AX78" s="468"/>
      <c r="AY78" s="460">
        <f t="shared" si="189"/>
        <v>0</v>
      </c>
      <c r="AZ78" s="469"/>
      <c r="BA78" s="468"/>
      <c r="BB78" s="468"/>
      <c r="BC78" s="468"/>
      <c r="BD78" s="468"/>
      <c r="BE78" s="468"/>
      <c r="BF78" s="468"/>
      <c r="BG78" s="468"/>
      <c r="BH78" s="462">
        <f t="shared" si="190"/>
        <v>0</v>
      </c>
      <c r="BI78" s="463">
        <f t="shared" si="191"/>
        <v>0</v>
      </c>
      <c r="BJ78" s="343">
        <v>50</v>
      </c>
      <c r="BK78" s="468"/>
      <c r="BL78" s="468"/>
      <c r="BM78" s="468"/>
      <c r="BN78" s="468"/>
      <c r="BO78" s="468"/>
      <c r="BP78" s="468"/>
      <c r="BQ78" s="468"/>
      <c r="BR78" s="468"/>
      <c r="BS78" s="460">
        <f t="shared" si="192"/>
        <v>0</v>
      </c>
      <c r="BT78" s="469"/>
      <c r="BU78" s="468"/>
      <c r="BV78" s="468"/>
      <c r="BW78" s="468"/>
      <c r="BX78" s="468"/>
      <c r="BY78" s="468"/>
      <c r="BZ78" s="468"/>
      <c r="CA78" s="468"/>
      <c r="CB78" s="462">
        <f t="shared" si="193"/>
        <v>0</v>
      </c>
      <c r="CC78" s="463">
        <f t="shared" si="194"/>
        <v>0</v>
      </c>
      <c r="CD78" s="343">
        <v>50</v>
      </c>
      <c r="CE78" s="462">
        <f t="shared" si="195"/>
        <v>0</v>
      </c>
      <c r="CF78" s="462">
        <f t="shared" si="196"/>
        <v>0</v>
      </c>
      <c r="CG78" s="462">
        <f t="shared" si="197"/>
        <v>0</v>
      </c>
      <c r="CH78" s="462">
        <f t="shared" si="198"/>
        <v>0</v>
      </c>
      <c r="CI78" s="464">
        <f t="shared" si="199"/>
        <v>0</v>
      </c>
      <c r="CJ78" s="462">
        <f t="shared" si="200"/>
        <v>0</v>
      </c>
      <c r="CK78" s="462">
        <f t="shared" si="201"/>
        <v>0</v>
      </c>
      <c r="CL78" s="462">
        <f t="shared" si="202"/>
        <v>0</v>
      </c>
      <c r="CM78" s="462">
        <f t="shared" si="203"/>
        <v>0</v>
      </c>
      <c r="CN78" s="464">
        <f t="shared" si="204"/>
        <v>0</v>
      </c>
      <c r="CO78" s="462">
        <f t="shared" si="205"/>
        <v>0</v>
      </c>
      <c r="CP78" s="462">
        <f t="shared" si="206"/>
        <v>0</v>
      </c>
      <c r="CQ78" s="462">
        <f t="shared" si="207"/>
        <v>0</v>
      </c>
      <c r="CR78" s="462">
        <f t="shared" si="208"/>
        <v>0</v>
      </c>
      <c r="CS78" s="464">
        <f t="shared" si="209"/>
        <v>0</v>
      </c>
    </row>
    <row r="79" spans="1:131" ht="15.75" customHeight="1" x14ac:dyDescent="0.25">
      <c r="A79" s="94" t="s">
        <v>332</v>
      </c>
      <c r="B79" s="343">
        <v>51</v>
      </c>
      <c r="C79" s="468">
        <v>9903.3860500556184</v>
      </c>
      <c r="D79" s="468">
        <v>18776.510678607097</v>
      </c>
      <c r="E79" s="468">
        <v>10112.445304438244</v>
      </c>
      <c r="F79" s="468">
        <v>19557.546292000217</v>
      </c>
      <c r="G79" s="468">
        <v>9906.0091033132685</v>
      </c>
      <c r="H79" s="468">
        <v>19802.466972688908</v>
      </c>
      <c r="I79" s="468">
        <v>10336.674443327451</v>
      </c>
      <c r="J79" s="468">
        <v>20097.812062454177</v>
      </c>
      <c r="K79" s="460">
        <f t="shared" si="183"/>
        <v>118492.850906885</v>
      </c>
      <c r="L79" s="469">
        <v>0</v>
      </c>
      <c r="M79" s="468">
        <v>43680.100541035819</v>
      </c>
      <c r="N79" s="468">
        <v>0</v>
      </c>
      <c r="O79" s="468">
        <v>39262.372909635124</v>
      </c>
      <c r="P79" s="468">
        <v>0</v>
      </c>
      <c r="Q79" s="468">
        <v>41514.116124923756</v>
      </c>
      <c r="R79" s="468">
        <v>0</v>
      </c>
      <c r="S79" s="468">
        <v>41821.370403381065</v>
      </c>
      <c r="T79" s="462">
        <f t="shared" si="184"/>
        <v>166277.95997897576</v>
      </c>
      <c r="U79" s="463">
        <f t="shared" si="185"/>
        <v>284770.81088586076</v>
      </c>
      <c r="V79" s="343">
        <v>51</v>
      </c>
      <c r="W79" s="468">
        <v>1531.6538268471322</v>
      </c>
      <c r="X79" s="468">
        <v>8557.5952641467065</v>
      </c>
      <c r="Y79" s="468">
        <v>1597.8120856849275</v>
      </c>
      <c r="Z79" s="468">
        <v>8188.8260205281913</v>
      </c>
      <c r="AA79" s="468">
        <v>1419.1992820574339</v>
      </c>
      <c r="AB79" s="468">
        <v>8094.5697514365711</v>
      </c>
      <c r="AC79" s="468">
        <v>1516.9694194248805</v>
      </c>
      <c r="AD79" s="468">
        <v>8321.2745446080535</v>
      </c>
      <c r="AE79" s="460">
        <f t="shared" si="186"/>
        <v>39227.900194733898</v>
      </c>
      <c r="AF79" s="469">
        <v>0</v>
      </c>
      <c r="AG79" s="468">
        <v>13513.47015961963</v>
      </c>
      <c r="AH79" s="468">
        <v>0</v>
      </c>
      <c r="AI79" s="468">
        <v>10627.662772741647</v>
      </c>
      <c r="AJ79" s="468">
        <v>0</v>
      </c>
      <c r="AK79" s="468">
        <v>11069.483357694693</v>
      </c>
      <c r="AL79" s="468">
        <v>0</v>
      </c>
      <c r="AM79" s="468">
        <v>11015.234947550347</v>
      </c>
      <c r="AN79" s="462">
        <f t="shared" si="187"/>
        <v>46225.851237606315</v>
      </c>
      <c r="AO79" s="463">
        <f t="shared" si="188"/>
        <v>85453.751432340214</v>
      </c>
      <c r="AP79" s="343">
        <v>51</v>
      </c>
      <c r="AQ79" s="468">
        <v>164366.19441736216</v>
      </c>
      <c r="AR79" s="468">
        <v>371144.01774405054</v>
      </c>
      <c r="AS79" s="468">
        <v>176410.84689041763</v>
      </c>
      <c r="AT79" s="468">
        <v>393627.15718417574</v>
      </c>
      <c r="AU79" s="468">
        <v>180494.35240260724</v>
      </c>
      <c r="AV79" s="468">
        <v>401918.67330307822</v>
      </c>
      <c r="AW79" s="468">
        <v>196832.35360538968</v>
      </c>
      <c r="AX79" s="468">
        <v>422127.93755998201</v>
      </c>
      <c r="AY79" s="460">
        <f t="shared" si="189"/>
        <v>2306921.5331070628</v>
      </c>
      <c r="AZ79" s="469">
        <v>0</v>
      </c>
      <c r="BA79" s="468">
        <v>334364.73966658005</v>
      </c>
      <c r="BB79" s="468">
        <v>0</v>
      </c>
      <c r="BC79" s="468">
        <v>270951.32033620018</v>
      </c>
      <c r="BD79" s="468">
        <v>0</v>
      </c>
      <c r="BE79" s="468">
        <v>300066.94904569391</v>
      </c>
      <c r="BF79" s="468">
        <v>0</v>
      </c>
      <c r="BG79" s="468">
        <v>302961.87234410748</v>
      </c>
      <c r="BH79" s="462">
        <f t="shared" si="190"/>
        <v>1208344.8813925819</v>
      </c>
      <c r="BI79" s="463">
        <f t="shared" si="191"/>
        <v>3515266.4144996447</v>
      </c>
      <c r="BJ79" s="343">
        <v>51</v>
      </c>
      <c r="BK79" s="468">
        <v>3387.6741858177952</v>
      </c>
      <c r="BL79" s="468">
        <v>36351.891389128876</v>
      </c>
      <c r="BM79" s="468">
        <v>3656.5776983557239</v>
      </c>
      <c r="BN79" s="468">
        <v>36025.275813916596</v>
      </c>
      <c r="BO79" s="468">
        <v>3175.3763385233196</v>
      </c>
      <c r="BP79" s="468">
        <v>33786.70921523263</v>
      </c>
      <c r="BQ79" s="468">
        <v>4081.0457105860864</v>
      </c>
      <c r="BR79" s="468">
        <v>36469.340703679118</v>
      </c>
      <c r="BS79" s="460">
        <f t="shared" si="192"/>
        <v>156933.89105524015</v>
      </c>
      <c r="BT79" s="469">
        <v>0</v>
      </c>
      <c r="BU79" s="468">
        <v>12078.437707240266</v>
      </c>
      <c r="BV79" s="468">
        <v>0</v>
      </c>
      <c r="BW79" s="468">
        <v>10329.580157748596</v>
      </c>
      <c r="BX79" s="468">
        <v>0</v>
      </c>
      <c r="BY79" s="468">
        <v>10894.780784186672</v>
      </c>
      <c r="BZ79" s="468">
        <v>0</v>
      </c>
      <c r="CA79" s="468">
        <v>13367.122424664727</v>
      </c>
      <c r="CB79" s="462">
        <f t="shared" si="193"/>
        <v>46669.921073840262</v>
      </c>
      <c r="CC79" s="463">
        <f t="shared" si="194"/>
        <v>203603.81212908041</v>
      </c>
      <c r="CD79" s="343">
        <v>51</v>
      </c>
      <c r="CE79" s="462">
        <f t="shared" si="195"/>
        <v>614018.92355601594</v>
      </c>
      <c r="CF79" s="462">
        <f t="shared" si="196"/>
        <v>649176.4872895173</v>
      </c>
      <c r="CG79" s="462">
        <f t="shared" si="197"/>
        <v>658597.35636893765</v>
      </c>
      <c r="CH79" s="462">
        <f t="shared" si="198"/>
        <v>699783.40804945154</v>
      </c>
      <c r="CI79" s="464">
        <f t="shared" si="199"/>
        <v>2621576.1752639222</v>
      </c>
      <c r="CJ79" s="462">
        <f t="shared" si="200"/>
        <v>403636.74807447579</v>
      </c>
      <c r="CK79" s="462">
        <f t="shared" si="201"/>
        <v>331170.93617632554</v>
      </c>
      <c r="CL79" s="462">
        <f t="shared" si="202"/>
        <v>363545.32931249903</v>
      </c>
      <c r="CM79" s="462">
        <f t="shared" si="203"/>
        <v>369165.60011970362</v>
      </c>
      <c r="CN79" s="464">
        <f t="shared" si="204"/>
        <v>1467518.6136830042</v>
      </c>
      <c r="CO79" s="462">
        <f t="shared" si="205"/>
        <v>1017655.6716304916</v>
      </c>
      <c r="CP79" s="462">
        <f t="shared" si="206"/>
        <v>980347.42346584273</v>
      </c>
      <c r="CQ79" s="462">
        <f t="shared" si="207"/>
        <v>1022142.6856814367</v>
      </c>
      <c r="CR79" s="462">
        <f t="shared" si="208"/>
        <v>1068949.0081691549</v>
      </c>
      <c r="CS79" s="464">
        <f t="shared" si="209"/>
        <v>4089094.7889469257</v>
      </c>
    </row>
    <row r="80" spans="1:131" ht="15.75" customHeight="1" x14ac:dyDescent="0.25">
      <c r="A80" s="94" t="s">
        <v>141</v>
      </c>
      <c r="B80" s="343">
        <v>52</v>
      </c>
      <c r="C80" s="468"/>
      <c r="D80" s="468"/>
      <c r="E80" s="468"/>
      <c r="F80" s="468"/>
      <c r="G80" s="468"/>
      <c r="H80" s="468"/>
      <c r="I80" s="468"/>
      <c r="J80" s="468"/>
      <c r="K80" s="460">
        <f t="shared" si="183"/>
        <v>0</v>
      </c>
      <c r="L80" s="469"/>
      <c r="M80" s="468"/>
      <c r="N80" s="468"/>
      <c r="O80" s="468"/>
      <c r="P80" s="468"/>
      <c r="Q80" s="468"/>
      <c r="R80" s="468"/>
      <c r="S80" s="468"/>
      <c r="T80" s="462">
        <f t="shared" si="184"/>
        <v>0</v>
      </c>
      <c r="U80" s="463">
        <f t="shared" si="185"/>
        <v>0</v>
      </c>
      <c r="V80" s="343">
        <v>52</v>
      </c>
      <c r="W80" s="468"/>
      <c r="X80" s="468"/>
      <c r="Y80" s="468"/>
      <c r="Z80" s="468"/>
      <c r="AA80" s="468"/>
      <c r="AB80" s="468"/>
      <c r="AC80" s="468"/>
      <c r="AD80" s="468"/>
      <c r="AE80" s="460">
        <f t="shared" si="186"/>
        <v>0</v>
      </c>
      <c r="AF80" s="469"/>
      <c r="AG80" s="468"/>
      <c r="AH80" s="468"/>
      <c r="AI80" s="468"/>
      <c r="AJ80" s="468"/>
      <c r="AK80" s="468"/>
      <c r="AL80" s="468"/>
      <c r="AM80" s="468"/>
      <c r="AN80" s="462">
        <f t="shared" si="187"/>
        <v>0</v>
      </c>
      <c r="AO80" s="463">
        <f t="shared" si="188"/>
        <v>0</v>
      </c>
      <c r="AP80" s="343">
        <v>52</v>
      </c>
      <c r="AQ80" s="468"/>
      <c r="AR80" s="468"/>
      <c r="AS80" s="468"/>
      <c r="AT80" s="468"/>
      <c r="AU80" s="468"/>
      <c r="AV80" s="468"/>
      <c r="AW80" s="468"/>
      <c r="AX80" s="468"/>
      <c r="AY80" s="460">
        <f t="shared" si="189"/>
        <v>0</v>
      </c>
      <c r="AZ80" s="469"/>
      <c r="BA80" s="468"/>
      <c r="BB80" s="468"/>
      <c r="BC80" s="468"/>
      <c r="BD80" s="468"/>
      <c r="BE80" s="468"/>
      <c r="BF80" s="468"/>
      <c r="BG80" s="468"/>
      <c r="BH80" s="462">
        <f t="shared" si="190"/>
        <v>0</v>
      </c>
      <c r="BI80" s="463">
        <f t="shared" si="191"/>
        <v>0</v>
      </c>
      <c r="BJ80" s="343">
        <v>52</v>
      </c>
      <c r="BK80" s="468"/>
      <c r="BL80" s="468"/>
      <c r="BM80" s="468"/>
      <c r="BN80" s="468"/>
      <c r="BO80" s="468"/>
      <c r="BP80" s="468"/>
      <c r="BQ80" s="468"/>
      <c r="BR80" s="468"/>
      <c r="BS80" s="460">
        <f t="shared" si="192"/>
        <v>0</v>
      </c>
      <c r="BT80" s="469"/>
      <c r="BU80" s="468"/>
      <c r="BV80" s="468"/>
      <c r="BW80" s="468"/>
      <c r="BX80" s="468"/>
      <c r="BY80" s="468"/>
      <c r="BZ80" s="468"/>
      <c r="CA80" s="468"/>
      <c r="CB80" s="462">
        <f t="shared" si="193"/>
        <v>0</v>
      </c>
      <c r="CC80" s="463">
        <f t="shared" si="194"/>
        <v>0</v>
      </c>
      <c r="CD80" s="343">
        <v>52</v>
      </c>
      <c r="CE80" s="462">
        <f t="shared" si="195"/>
        <v>0</v>
      </c>
      <c r="CF80" s="462">
        <f t="shared" si="196"/>
        <v>0</v>
      </c>
      <c r="CG80" s="462">
        <f t="shared" si="197"/>
        <v>0</v>
      </c>
      <c r="CH80" s="462">
        <f t="shared" si="198"/>
        <v>0</v>
      </c>
      <c r="CI80" s="464">
        <f t="shared" si="199"/>
        <v>0</v>
      </c>
      <c r="CJ80" s="462">
        <f t="shared" si="200"/>
        <v>0</v>
      </c>
      <c r="CK80" s="462">
        <f t="shared" si="201"/>
        <v>0</v>
      </c>
      <c r="CL80" s="462">
        <f t="shared" si="202"/>
        <v>0</v>
      </c>
      <c r="CM80" s="462">
        <f t="shared" si="203"/>
        <v>0</v>
      </c>
      <c r="CN80" s="464">
        <f t="shared" si="204"/>
        <v>0</v>
      </c>
      <c r="CO80" s="462">
        <f t="shared" si="205"/>
        <v>0</v>
      </c>
      <c r="CP80" s="462">
        <f t="shared" si="206"/>
        <v>0</v>
      </c>
      <c r="CQ80" s="462">
        <f t="shared" si="207"/>
        <v>0</v>
      </c>
      <c r="CR80" s="462">
        <f t="shared" si="208"/>
        <v>0</v>
      </c>
      <c r="CS80" s="464">
        <f t="shared" si="209"/>
        <v>0</v>
      </c>
    </row>
    <row r="81" spans="1:131" ht="15.75" customHeight="1" x14ac:dyDescent="0.25">
      <c r="A81" s="94" t="s">
        <v>257</v>
      </c>
      <c r="B81" s="343">
        <v>53</v>
      </c>
      <c r="C81" s="468">
        <v>37163.593952835967</v>
      </c>
      <c r="D81" s="468">
        <v>70461.013554745135</v>
      </c>
      <c r="E81" s="468">
        <v>73868.896699049292</v>
      </c>
      <c r="F81" s="468">
        <v>142863.00921663109</v>
      </c>
      <c r="G81" s="468">
        <v>70801.471712571278</v>
      </c>
      <c r="H81" s="468">
        <v>141534.67764702725</v>
      </c>
      <c r="I81" s="468">
        <v>77057.359499509053</v>
      </c>
      <c r="J81" s="468">
        <v>149824.23387144701</v>
      </c>
      <c r="K81" s="460">
        <f t="shared" si="183"/>
        <v>763574.25615381612</v>
      </c>
      <c r="L81" s="469">
        <v>0</v>
      </c>
      <c r="M81" s="468">
        <v>163914.59568689531</v>
      </c>
      <c r="N81" s="468">
        <v>0</v>
      </c>
      <c r="O81" s="468">
        <v>286801.86456469551</v>
      </c>
      <c r="P81" s="468">
        <v>0</v>
      </c>
      <c r="Q81" s="468">
        <v>296714.9018173315</v>
      </c>
      <c r="R81" s="468">
        <v>0</v>
      </c>
      <c r="S81" s="468">
        <v>311768.00542613107</v>
      </c>
      <c r="T81" s="462">
        <f t="shared" si="184"/>
        <v>1059199.3674950534</v>
      </c>
      <c r="U81" s="463">
        <f t="shared" si="185"/>
        <v>1822773.6236488696</v>
      </c>
      <c r="V81" s="343">
        <v>53</v>
      </c>
      <c r="W81" s="468">
        <v>5747.7069569487785</v>
      </c>
      <c r="X81" s="468">
        <v>32113.359410812242</v>
      </c>
      <c r="Y81" s="468">
        <v>11671.619707070349</v>
      </c>
      <c r="Z81" s="468">
        <v>59817.33647858644</v>
      </c>
      <c r="AA81" s="468">
        <v>10143.479253363781</v>
      </c>
      <c r="AB81" s="468">
        <v>57854.524996356406</v>
      </c>
      <c r="AC81" s="468">
        <v>11308.633017637696</v>
      </c>
      <c r="AD81" s="468">
        <v>62033.050145242298</v>
      </c>
      <c r="AE81" s="460">
        <f t="shared" si="186"/>
        <v>250689.70996601801</v>
      </c>
      <c r="AF81" s="469">
        <v>0</v>
      </c>
      <c r="AG81" s="468">
        <v>50710.849336530606</v>
      </c>
      <c r="AH81" s="468">
        <v>0</v>
      </c>
      <c r="AI81" s="468">
        <v>77632.432104966036</v>
      </c>
      <c r="AJ81" s="468">
        <v>0</v>
      </c>
      <c r="AK81" s="468">
        <v>79117.200948307524</v>
      </c>
      <c r="AL81" s="468">
        <v>0</v>
      </c>
      <c r="AM81" s="468">
        <v>82115.86076147198</v>
      </c>
      <c r="AN81" s="462">
        <f t="shared" si="187"/>
        <v>289576.34315127612</v>
      </c>
      <c r="AO81" s="463">
        <f t="shared" si="188"/>
        <v>540266.0531172941</v>
      </c>
      <c r="AP81" s="343">
        <v>53</v>
      </c>
      <c r="AQ81" s="468">
        <v>616803.02858287911</v>
      </c>
      <c r="AR81" s="468">
        <v>1392760.5673199601</v>
      </c>
      <c r="AS81" s="468">
        <v>1288637.3407449506</v>
      </c>
      <c r="AT81" s="468">
        <v>2875348.4381484687</v>
      </c>
      <c r="AU81" s="468">
        <v>1290051.8920013695</v>
      </c>
      <c r="AV81" s="468">
        <v>2872643.5925749592</v>
      </c>
      <c r="AW81" s="468">
        <v>1467336.667712881</v>
      </c>
      <c r="AX81" s="468">
        <v>3146859.7001566035</v>
      </c>
      <c r="AY81" s="460">
        <f t="shared" si="189"/>
        <v>14950441.227242071</v>
      </c>
      <c r="AZ81" s="469">
        <v>0</v>
      </c>
      <c r="BA81" s="468">
        <v>1254742.1007630718</v>
      </c>
      <c r="BB81" s="468">
        <v>0</v>
      </c>
      <c r="BC81" s="468">
        <v>1979231.9750398521</v>
      </c>
      <c r="BD81" s="468">
        <v>0</v>
      </c>
      <c r="BE81" s="468">
        <v>2144676.1640497968</v>
      </c>
      <c r="BF81" s="468">
        <v>0</v>
      </c>
      <c r="BG81" s="468">
        <v>2258506.064001489</v>
      </c>
      <c r="BH81" s="462">
        <f t="shared" si="190"/>
        <v>7637156.3038542103</v>
      </c>
      <c r="BI81" s="463">
        <f t="shared" si="191"/>
        <v>22587597.53109628</v>
      </c>
      <c r="BJ81" s="343">
        <v>53</v>
      </c>
      <c r="BK81" s="468">
        <v>12712.636592161292</v>
      </c>
      <c r="BL81" s="468">
        <v>136414.64890643061</v>
      </c>
      <c r="BM81" s="468">
        <v>26710.390231068955</v>
      </c>
      <c r="BN81" s="468">
        <v>263155.67575777299</v>
      </c>
      <c r="BO81" s="468">
        <v>22695.448355032393</v>
      </c>
      <c r="BP81" s="468">
        <v>241484.60917152412</v>
      </c>
      <c r="BQ81" s="468">
        <v>30423.18960307023</v>
      </c>
      <c r="BR81" s="468">
        <v>271869.94354142068</v>
      </c>
      <c r="BS81" s="460">
        <f t="shared" si="192"/>
        <v>1005466.5421584812</v>
      </c>
      <c r="BT81" s="469">
        <v>0</v>
      </c>
      <c r="BU81" s="468">
        <v>45325.725188101635</v>
      </c>
      <c r="BV81" s="468">
        <v>0</v>
      </c>
      <c r="BW81" s="468">
        <v>75455.01277345774</v>
      </c>
      <c r="BX81" s="468">
        <v>0</v>
      </c>
      <c r="BY81" s="468">
        <v>77868.544785433158</v>
      </c>
      <c r="BZ81" s="468">
        <v>0</v>
      </c>
      <c r="CA81" s="468">
        <v>99648.602052689137</v>
      </c>
      <c r="CB81" s="462">
        <f t="shared" si="193"/>
        <v>298297.88479968166</v>
      </c>
      <c r="CC81" s="463">
        <f t="shared" si="194"/>
        <v>1303764.4269581628</v>
      </c>
      <c r="CD81" s="343">
        <v>53</v>
      </c>
      <c r="CE81" s="462">
        <f t="shared" si="195"/>
        <v>2304176.5552767734</v>
      </c>
      <c r="CF81" s="462">
        <f t="shared" si="196"/>
        <v>4742072.7069835989</v>
      </c>
      <c r="CG81" s="462">
        <f t="shared" si="197"/>
        <v>4707209.6957122032</v>
      </c>
      <c r="CH81" s="462">
        <f t="shared" si="198"/>
        <v>5216712.7775478112</v>
      </c>
      <c r="CI81" s="464">
        <f t="shared" si="199"/>
        <v>16970171.735520385</v>
      </c>
      <c r="CJ81" s="462">
        <f t="shared" si="200"/>
        <v>1514693.2709745993</v>
      </c>
      <c r="CK81" s="462">
        <f t="shared" si="201"/>
        <v>2419121.2844829718</v>
      </c>
      <c r="CL81" s="462">
        <f t="shared" si="202"/>
        <v>2598376.8116008686</v>
      </c>
      <c r="CM81" s="462">
        <f t="shared" si="203"/>
        <v>2752038.5322417812</v>
      </c>
      <c r="CN81" s="464">
        <f t="shared" si="204"/>
        <v>9284229.8993002214</v>
      </c>
      <c r="CO81" s="462">
        <f t="shared" si="205"/>
        <v>3818869.8262513727</v>
      </c>
      <c r="CP81" s="462">
        <f t="shared" si="206"/>
        <v>7161193.9914665697</v>
      </c>
      <c r="CQ81" s="462">
        <f t="shared" si="207"/>
        <v>7305586.5073130727</v>
      </c>
      <c r="CR81" s="462">
        <f t="shared" si="208"/>
        <v>7968751.3097895933</v>
      </c>
      <c r="CS81" s="464">
        <f t="shared" si="209"/>
        <v>26254401.634820607</v>
      </c>
    </row>
    <row r="82" spans="1:131" ht="15.75" customHeight="1" x14ac:dyDescent="0.25">
      <c r="A82" s="94" t="s">
        <v>333</v>
      </c>
      <c r="B82" s="343">
        <v>54</v>
      </c>
      <c r="C82" s="468"/>
      <c r="D82" s="468"/>
      <c r="E82" s="468"/>
      <c r="F82" s="468"/>
      <c r="G82" s="468"/>
      <c r="H82" s="468"/>
      <c r="I82" s="468"/>
      <c r="J82" s="468"/>
      <c r="K82" s="460">
        <f t="shared" si="183"/>
        <v>0</v>
      </c>
      <c r="L82" s="469"/>
      <c r="M82" s="468"/>
      <c r="N82" s="468"/>
      <c r="O82" s="468"/>
      <c r="P82" s="468"/>
      <c r="Q82" s="468"/>
      <c r="R82" s="468"/>
      <c r="S82" s="468"/>
      <c r="T82" s="462">
        <f t="shared" si="184"/>
        <v>0</v>
      </c>
      <c r="U82" s="463">
        <f t="shared" si="185"/>
        <v>0</v>
      </c>
      <c r="V82" s="343">
        <v>54</v>
      </c>
      <c r="W82" s="468"/>
      <c r="X82" s="468"/>
      <c r="Y82" s="468"/>
      <c r="Z82" s="468"/>
      <c r="AA82" s="468"/>
      <c r="AB82" s="468"/>
      <c r="AC82" s="468"/>
      <c r="AD82" s="468"/>
      <c r="AE82" s="460">
        <f t="shared" si="186"/>
        <v>0</v>
      </c>
      <c r="AF82" s="469"/>
      <c r="AG82" s="468"/>
      <c r="AH82" s="468"/>
      <c r="AI82" s="468"/>
      <c r="AJ82" s="468"/>
      <c r="AK82" s="468"/>
      <c r="AL82" s="468"/>
      <c r="AM82" s="468"/>
      <c r="AN82" s="462">
        <f t="shared" si="187"/>
        <v>0</v>
      </c>
      <c r="AO82" s="463">
        <f t="shared" si="188"/>
        <v>0</v>
      </c>
      <c r="AP82" s="343">
        <v>54</v>
      </c>
      <c r="AQ82" s="468"/>
      <c r="AR82" s="468"/>
      <c r="AS82" s="468"/>
      <c r="AT82" s="468"/>
      <c r="AU82" s="468"/>
      <c r="AV82" s="468"/>
      <c r="AW82" s="468"/>
      <c r="AX82" s="468"/>
      <c r="AY82" s="460">
        <f t="shared" si="189"/>
        <v>0</v>
      </c>
      <c r="AZ82" s="469"/>
      <c r="BA82" s="468"/>
      <c r="BB82" s="468"/>
      <c r="BC82" s="468"/>
      <c r="BD82" s="468"/>
      <c r="BE82" s="468"/>
      <c r="BF82" s="468"/>
      <c r="BG82" s="468"/>
      <c r="BH82" s="462">
        <f t="shared" si="190"/>
        <v>0</v>
      </c>
      <c r="BI82" s="463">
        <f t="shared" si="191"/>
        <v>0</v>
      </c>
      <c r="BJ82" s="343">
        <v>54</v>
      </c>
      <c r="BK82" s="468"/>
      <c r="BL82" s="468"/>
      <c r="BM82" s="468"/>
      <c r="BN82" s="468"/>
      <c r="BO82" s="468"/>
      <c r="BP82" s="468"/>
      <c r="BQ82" s="468"/>
      <c r="BR82" s="468"/>
      <c r="BS82" s="460">
        <f t="shared" si="192"/>
        <v>0</v>
      </c>
      <c r="BT82" s="469"/>
      <c r="BU82" s="468"/>
      <c r="BV82" s="468"/>
      <c r="BW82" s="468"/>
      <c r="BX82" s="468"/>
      <c r="BY82" s="468"/>
      <c r="BZ82" s="468"/>
      <c r="CA82" s="468"/>
      <c r="CB82" s="462">
        <f t="shared" si="193"/>
        <v>0</v>
      </c>
      <c r="CC82" s="463">
        <f t="shared" si="194"/>
        <v>0</v>
      </c>
      <c r="CD82" s="343">
        <v>54</v>
      </c>
      <c r="CE82" s="462">
        <f t="shared" si="195"/>
        <v>0</v>
      </c>
      <c r="CF82" s="462">
        <f t="shared" si="196"/>
        <v>0</v>
      </c>
      <c r="CG82" s="462">
        <f t="shared" si="197"/>
        <v>0</v>
      </c>
      <c r="CH82" s="462">
        <f t="shared" si="198"/>
        <v>0</v>
      </c>
      <c r="CI82" s="464">
        <f t="shared" si="199"/>
        <v>0</v>
      </c>
      <c r="CJ82" s="462">
        <f t="shared" si="200"/>
        <v>0</v>
      </c>
      <c r="CK82" s="462">
        <f t="shared" si="201"/>
        <v>0</v>
      </c>
      <c r="CL82" s="462">
        <f t="shared" si="202"/>
        <v>0</v>
      </c>
      <c r="CM82" s="462">
        <f t="shared" si="203"/>
        <v>0</v>
      </c>
      <c r="CN82" s="464">
        <f t="shared" si="204"/>
        <v>0</v>
      </c>
      <c r="CO82" s="462">
        <f t="shared" si="205"/>
        <v>0</v>
      </c>
      <c r="CP82" s="462">
        <f t="shared" si="206"/>
        <v>0</v>
      </c>
      <c r="CQ82" s="462">
        <f t="shared" si="207"/>
        <v>0</v>
      </c>
      <c r="CR82" s="462">
        <f t="shared" si="208"/>
        <v>0</v>
      </c>
      <c r="CS82" s="464">
        <f t="shared" si="209"/>
        <v>0</v>
      </c>
    </row>
    <row r="83" spans="1:131" ht="15.75" customHeight="1" x14ac:dyDescent="0.25">
      <c r="A83" s="94" t="s">
        <v>319</v>
      </c>
      <c r="B83" s="343">
        <v>55</v>
      </c>
      <c r="C83" s="468"/>
      <c r="D83" s="468"/>
      <c r="E83" s="468"/>
      <c r="F83" s="468"/>
      <c r="G83" s="468"/>
      <c r="H83" s="468"/>
      <c r="I83" s="468"/>
      <c r="J83" s="468"/>
      <c r="K83" s="460">
        <f t="shared" si="183"/>
        <v>0</v>
      </c>
      <c r="L83" s="469"/>
      <c r="M83" s="468"/>
      <c r="N83" s="468"/>
      <c r="O83" s="468"/>
      <c r="P83" s="468"/>
      <c r="Q83" s="468"/>
      <c r="R83" s="468"/>
      <c r="S83" s="468"/>
      <c r="T83" s="462">
        <f t="shared" si="184"/>
        <v>0</v>
      </c>
      <c r="U83" s="463">
        <f t="shared" si="185"/>
        <v>0</v>
      </c>
      <c r="V83" s="343">
        <v>55</v>
      </c>
      <c r="W83" s="468"/>
      <c r="X83" s="468"/>
      <c r="Y83" s="468"/>
      <c r="Z83" s="468"/>
      <c r="AA83" s="468"/>
      <c r="AB83" s="468"/>
      <c r="AC83" s="468"/>
      <c r="AD83" s="468"/>
      <c r="AE83" s="460">
        <f t="shared" si="186"/>
        <v>0</v>
      </c>
      <c r="AF83" s="469"/>
      <c r="AG83" s="468"/>
      <c r="AH83" s="468"/>
      <c r="AI83" s="468"/>
      <c r="AJ83" s="468"/>
      <c r="AK83" s="468"/>
      <c r="AL83" s="468"/>
      <c r="AM83" s="468"/>
      <c r="AN83" s="462">
        <f t="shared" si="187"/>
        <v>0</v>
      </c>
      <c r="AO83" s="463">
        <f t="shared" si="188"/>
        <v>0</v>
      </c>
      <c r="AP83" s="343">
        <v>55</v>
      </c>
      <c r="AQ83" s="468"/>
      <c r="AR83" s="468"/>
      <c r="AS83" s="468"/>
      <c r="AT83" s="468"/>
      <c r="AU83" s="468"/>
      <c r="AV83" s="468"/>
      <c r="AW83" s="468"/>
      <c r="AX83" s="468"/>
      <c r="AY83" s="460">
        <f t="shared" si="189"/>
        <v>0</v>
      </c>
      <c r="AZ83" s="469"/>
      <c r="BA83" s="468"/>
      <c r="BB83" s="468"/>
      <c r="BC83" s="468"/>
      <c r="BD83" s="468"/>
      <c r="BE83" s="468"/>
      <c r="BF83" s="468"/>
      <c r="BG83" s="468"/>
      <c r="BH83" s="462">
        <f t="shared" si="190"/>
        <v>0</v>
      </c>
      <c r="BI83" s="463">
        <f t="shared" si="191"/>
        <v>0</v>
      </c>
      <c r="BJ83" s="343">
        <v>55</v>
      </c>
      <c r="BK83" s="468"/>
      <c r="BL83" s="468"/>
      <c r="BM83" s="468"/>
      <c r="BN83" s="468"/>
      <c r="BO83" s="468"/>
      <c r="BP83" s="468"/>
      <c r="BQ83" s="468"/>
      <c r="BR83" s="468"/>
      <c r="BS83" s="460">
        <f t="shared" si="192"/>
        <v>0</v>
      </c>
      <c r="BT83" s="469"/>
      <c r="BU83" s="468"/>
      <c r="BV83" s="468"/>
      <c r="BW83" s="468"/>
      <c r="BX83" s="468"/>
      <c r="BY83" s="468"/>
      <c r="BZ83" s="468"/>
      <c r="CA83" s="468"/>
      <c r="CB83" s="462">
        <f t="shared" si="193"/>
        <v>0</v>
      </c>
      <c r="CC83" s="463">
        <f t="shared" si="194"/>
        <v>0</v>
      </c>
      <c r="CD83" s="343">
        <v>55</v>
      </c>
      <c r="CE83" s="462">
        <f t="shared" si="195"/>
        <v>0</v>
      </c>
      <c r="CF83" s="462">
        <f t="shared" si="196"/>
        <v>0</v>
      </c>
      <c r="CG83" s="462">
        <f t="shared" si="197"/>
        <v>0</v>
      </c>
      <c r="CH83" s="462">
        <f t="shared" si="198"/>
        <v>0</v>
      </c>
      <c r="CI83" s="464">
        <f t="shared" si="199"/>
        <v>0</v>
      </c>
      <c r="CJ83" s="462">
        <f t="shared" si="200"/>
        <v>0</v>
      </c>
      <c r="CK83" s="462">
        <f t="shared" si="201"/>
        <v>0</v>
      </c>
      <c r="CL83" s="462">
        <f t="shared" si="202"/>
        <v>0</v>
      </c>
      <c r="CM83" s="462">
        <f t="shared" si="203"/>
        <v>0</v>
      </c>
      <c r="CN83" s="464">
        <f t="shared" si="204"/>
        <v>0</v>
      </c>
      <c r="CO83" s="462">
        <f t="shared" si="205"/>
        <v>0</v>
      </c>
      <c r="CP83" s="462">
        <f t="shared" si="206"/>
        <v>0</v>
      </c>
      <c r="CQ83" s="462">
        <f t="shared" si="207"/>
        <v>0</v>
      </c>
      <c r="CR83" s="462">
        <f t="shared" si="208"/>
        <v>0</v>
      </c>
      <c r="CS83" s="464">
        <f t="shared" si="209"/>
        <v>0</v>
      </c>
    </row>
    <row r="84" spans="1:131" ht="15.75" customHeight="1" x14ac:dyDescent="0.25">
      <c r="A84" s="94" t="s">
        <v>320</v>
      </c>
      <c r="B84" s="343">
        <v>56</v>
      </c>
      <c r="C84" s="468"/>
      <c r="D84" s="468"/>
      <c r="E84" s="468"/>
      <c r="F84" s="468"/>
      <c r="G84" s="468"/>
      <c r="H84" s="468"/>
      <c r="I84" s="468"/>
      <c r="J84" s="468"/>
      <c r="K84" s="460">
        <f t="shared" si="183"/>
        <v>0</v>
      </c>
      <c r="L84" s="469"/>
      <c r="M84" s="468"/>
      <c r="N84" s="468"/>
      <c r="O84" s="468"/>
      <c r="P84" s="468"/>
      <c r="Q84" s="468"/>
      <c r="R84" s="468"/>
      <c r="S84" s="468"/>
      <c r="T84" s="462">
        <f t="shared" si="184"/>
        <v>0</v>
      </c>
      <c r="U84" s="463">
        <f t="shared" si="185"/>
        <v>0</v>
      </c>
      <c r="V84" s="343">
        <v>56</v>
      </c>
      <c r="W84" s="468"/>
      <c r="X84" s="468"/>
      <c r="Y84" s="468"/>
      <c r="Z84" s="468"/>
      <c r="AA84" s="468"/>
      <c r="AB84" s="468"/>
      <c r="AC84" s="468"/>
      <c r="AD84" s="468"/>
      <c r="AE84" s="460">
        <f t="shared" si="186"/>
        <v>0</v>
      </c>
      <c r="AF84" s="469"/>
      <c r="AG84" s="468"/>
      <c r="AH84" s="468"/>
      <c r="AI84" s="468"/>
      <c r="AJ84" s="468"/>
      <c r="AK84" s="468"/>
      <c r="AL84" s="468"/>
      <c r="AM84" s="468"/>
      <c r="AN84" s="462">
        <f t="shared" si="187"/>
        <v>0</v>
      </c>
      <c r="AO84" s="463">
        <f t="shared" si="188"/>
        <v>0</v>
      </c>
      <c r="AP84" s="343">
        <v>56</v>
      </c>
      <c r="AQ84" s="468"/>
      <c r="AR84" s="468"/>
      <c r="AS84" s="468"/>
      <c r="AT84" s="468"/>
      <c r="AU84" s="468"/>
      <c r="AV84" s="468"/>
      <c r="AW84" s="468"/>
      <c r="AX84" s="468"/>
      <c r="AY84" s="460">
        <f t="shared" si="189"/>
        <v>0</v>
      </c>
      <c r="AZ84" s="469"/>
      <c r="BA84" s="468"/>
      <c r="BB84" s="468"/>
      <c r="BC84" s="468"/>
      <c r="BD84" s="468"/>
      <c r="BE84" s="468"/>
      <c r="BF84" s="468"/>
      <c r="BG84" s="468"/>
      <c r="BH84" s="462">
        <f t="shared" si="190"/>
        <v>0</v>
      </c>
      <c r="BI84" s="463">
        <f t="shared" si="191"/>
        <v>0</v>
      </c>
      <c r="BJ84" s="343">
        <v>56</v>
      </c>
      <c r="BK84" s="468"/>
      <c r="BL84" s="468"/>
      <c r="BM84" s="468"/>
      <c r="BN84" s="468"/>
      <c r="BO84" s="468"/>
      <c r="BP84" s="468"/>
      <c r="BQ84" s="468"/>
      <c r="BR84" s="468"/>
      <c r="BS84" s="460">
        <f t="shared" si="192"/>
        <v>0</v>
      </c>
      <c r="BT84" s="469"/>
      <c r="BU84" s="468"/>
      <c r="BV84" s="468"/>
      <c r="BW84" s="468"/>
      <c r="BX84" s="468"/>
      <c r="BY84" s="468"/>
      <c r="BZ84" s="468"/>
      <c r="CA84" s="468"/>
      <c r="CB84" s="462">
        <f t="shared" si="193"/>
        <v>0</v>
      </c>
      <c r="CC84" s="463">
        <f t="shared" si="194"/>
        <v>0</v>
      </c>
      <c r="CD84" s="343">
        <v>56</v>
      </c>
      <c r="CE84" s="462">
        <f t="shared" si="195"/>
        <v>0</v>
      </c>
      <c r="CF84" s="462">
        <f t="shared" si="196"/>
        <v>0</v>
      </c>
      <c r="CG84" s="462">
        <f t="shared" si="197"/>
        <v>0</v>
      </c>
      <c r="CH84" s="462">
        <f t="shared" si="198"/>
        <v>0</v>
      </c>
      <c r="CI84" s="464">
        <f t="shared" si="199"/>
        <v>0</v>
      </c>
      <c r="CJ84" s="462">
        <f t="shared" si="200"/>
        <v>0</v>
      </c>
      <c r="CK84" s="462">
        <f t="shared" si="201"/>
        <v>0</v>
      </c>
      <c r="CL84" s="462">
        <f t="shared" si="202"/>
        <v>0</v>
      </c>
      <c r="CM84" s="462">
        <f t="shared" si="203"/>
        <v>0</v>
      </c>
      <c r="CN84" s="464">
        <f t="shared" si="204"/>
        <v>0</v>
      </c>
      <c r="CO84" s="462">
        <f t="shared" si="205"/>
        <v>0</v>
      </c>
      <c r="CP84" s="462">
        <f t="shared" si="206"/>
        <v>0</v>
      </c>
      <c r="CQ84" s="462">
        <f t="shared" si="207"/>
        <v>0</v>
      </c>
      <c r="CR84" s="462">
        <f t="shared" si="208"/>
        <v>0</v>
      </c>
      <c r="CS84" s="464">
        <f t="shared" si="209"/>
        <v>0</v>
      </c>
    </row>
    <row r="85" spans="1:131" ht="15.75" customHeight="1" x14ac:dyDescent="0.25">
      <c r="A85" s="94" t="s">
        <v>335</v>
      </c>
      <c r="B85" s="343">
        <v>57</v>
      </c>
      <c r="C85" s="468"/>
      <c r="D85" s="468"/>
      <c r="E85" s="468"/>
      <c r="F85" s="468"/>
      <c r="G85" s="468"/>
      <c r="H85" s="468"/>
      <c r="I85" s="468"/>
      <c r="J85" s="468"/>
      <c r="K85" s="460">
        <f t="shared" si="183"/>
        <v>0</v>
      </c>
      <c r="L85" s="469"/>
      <c r="M85" s="468"/>
      <c r="N85" s="468"/>
      <c r="O85" s="468"/>
      <c r="P85" s="468"/>
      <c r="Q85" s="468"/>
      <c r="R85" s="468"/>
      <c r="S85" s="468"/>
      <c r="T85" s="462">
        <f t="shared" si="184"/>
        <v>0</v>
      </c>
      <c r="U85" s="463">
        <f t="shared" si="185"/>
        <v>0</v>
      </c>
      <c r="V85" s="343">
        <v>57</v>
      </c>
      <c r="W85" s="468"/>
      <c r="X85" s="468"/>
      <c r="Y85" s="468"/>
      <c r="Z85" s="468"/>
      <c r="AA85" s="468"/>
      <c r="AB85" s="468"/>
      <c r="AC85" s="468"/>
      <c r="AD85" s="468"/>
      <c r="AE85" s="460">
        <f t="shared" si="186"/>
        <v>0</v>
      </c>
      <c r="AF85" s="469"/>
      <c r="AG85" s="468"/>
      <c r="AH85" s="468"/>
      <c r="AI85" s="468"/>
      <c r="AJ85" s="468"/>
      <c r="AK85" s="468"/>
      <c r="AL85" s="468"/>
      <c r="AM85" s="468"/>
      <c r="AN85" s="462">
        <f t="shared" si="187"/>
        <v>0</v>
      </c>
      <c r="AO85" s="463">
        <f t="shared" si="188"/>
        <v>0</v>
      </c>
      <c r="AP85" s="343">
        <v>57</v>
      </c>
      <c r="AQ85" s="468"/>
      <c r="AR85" s="468"/>
      <c r="AS85" s="468"/>
      <c r="AT85" s="468"/>
      <c r="AU85" s="468"/>
      <c r="AV85" s="468"/>
      <c r="AW85" s="468"/>
      <c r="AX85" s="468"/>
      <c r="AY85" s="460">
        <f t="shared" si="189"/>
        <v>0</v>
      </c>
      <c r="AZ85" s="469"/>
      <c r="BA85" s="468"/>
      <c r="BB85" s="468"/>
      <c r="BC85" s="468"/>
      <c r="BD85" s="468"/>
      <c r="BE85" s="468"/>
      <c r="BF85" s="468"/>
      <c r="BG85" s="468"/>
      <c r="BH85" s="462">
        <f t="shared" si="190"/>
        <v>0</v>
      </c>
      <c r="BI85" s="463">
        <f t="shared" si="191"/>
        <v>0</v>
      </c>
      <c r="BJ85" s="343">
        <v>57</v>
      </c>
      <c r="BK85" s="468"/>
      <c r="BL85" s="468"/>
      <c r="BM85" s="468"/>
      <c r="BN85" s="468"/>
      <c r="BO85" s="468"/>
      <c r="BP85" s="468"/>
      <c r="BQ85" s="468"/>
      <c r="BR85" s="468"/>
      <c r="BS85" s="460">
        <f t="shared" si="192"/>
        <v>0</v>
      </c>
      <c r="BT85" s="469"/>
      <c r="BU85" s="468"/>
      <c r="BV85" s="468"/>
      <c r="BW85" s="468"/>
      <c r="BX85" s="468"/>
      <c r="BY85" s="468"/>
      <c r="BZ85" s="468"/>
      <c r="CA85" s="468"/>
      <c r="CB85" s="462">
        <f t="shared" si="193"/>
        <v>0</v>
      </c>
      <c r="CC85" s="463">
        <f t="shared" si="194"/>
        <v>0</v>
      </c>
      <c r="CD85" s="343">
        <v>57</v>
      </c>
      <c r="CE85" s="462">
        <f t="shared" si="195"/>
        <v>0</v>
      </c>
      <c r="CF85" s="462">
        <f t="shared" si="196"/>
        <v>0</v>
      </c>
      <c r="CG85" s="462">
        <f t="shared" si="197"/>
        <v>0</v>
      </c>
      <c r="CH85" s="462">
        <f t="shared" si="198"/>
        <v>0</v>
      </c>
      <c r="CI85" s="464">
        <f t="shared" si="199"/>
        <v>0</v>
      </c>
      <c r="CJ85" s="462">
        <f t="shared" si="200"/>
        <v>0</v>
      </c>
      <c r="CK85" s="462">
        <f t="shared" si="201"/>
        <v>0</v>
      </c>
      <c r="CL85" s="462">
        <f t="shared" si="202"/>
        <v>0</v>
      </c>
      <c r="CM85" s="462">
        <f t="shared" si="203"/>
        <v>0</v>
      </c>
      <c r="CN85" s="464">
        <f t="shared" si="204"/>
        <v>0</v>
      </c>
      <c r="CO85" s="462">
        <f t="shared" si="205"/>
        <v>0</v>
      </c>
      <c r="CP85" s="462">
        <f t="shared" si="206"/>
        <v>0</v>
      </c>
      <c r="CQ85" s="462">
        <f t="shared" si="207"/>
        <v>0</v>
      </c>
      <c r="CR85" s="462">
        <f t="shared" si="208"/>
        <v>0</v>
      </c>
      <c r="CS85" s="464">
        <f t="shared" si="209"/>
        <v>0</v>
      </c>
    </row>
    <row r="86" spans="1:131" ht="15.75" customHeight="1" x14ac:dyDescent="0.25">
      <c r="A86" s="94" t="s">
        <v>337</v>
      </c>
      <c r="B86" s="343">
        <v>58</v>
      </c>
      <c r="C86" s="468">
        <v>55218.823285294966</v>
      </c>
      <c r="D86" s="468">
        <v>104693.16452332346</v>
      </c>
      <c r="E86" s="468">
        <v>33378.828390028117</v>
      </c>
      <c r="F86" s="468">
        <v>64554.908507064618</v>
      </c>
      <c r="G86" s="468">
        <v>36206.276539572413</v>
      </c>
      <c r="H86" s="468">
        <v>72377.643499148151</v>
      </c>
      <c r="I86" s="468">
        <v>36512.294856108805</v>
      </c>
      <c r="J86" s="468">
        <v>70991.61766294016</v>
      </c>
      <c r="K86" s="460">
        <f t="shared" si="183"/>
        <v>473933.55726348067</v>
      </c>
      <c r="L86" s="469">
        <v>0</v>
      </c>
      <c r="M86" s="468">
        <v>243549.40226184842</v>
      </c>
      <c r="N86" s="468">
        <v>0</v>
      </c>
      <c r="O86" s="468">
        <v>129595.9550911807</v>
      </c>
      <c r="P86" s="468">
        <v>0</v>
      </c>
      <c r="Q86" s="468">
        <v>151733.31187553407</v>
      </c>
      <c r="R86" s="468">
        <v>0</v>
      </c>
      <c r="S86" s="468">
        <v>147725.86829804818</v>
      </c>
      <c r="T86" s="462">
        <f t="shared" si="184"/>
        <v>672604.53752661136</v>
      </c>
      <c r="U86" s="463">
        <f t="shared" si="185"/>
        <v>1146538.094790092</v>
      </c>
      <c r="V86" s="343">
        <v>58</v>
      </c>
      <c r="W86" s="468">
        <v>8540.1216888280942</v>
      </c>
      <c r="X86" s="468">
        <v>47715.027794492598</v>
      </c>
      <c r="Y86" s="468">
        <v>5274.0058217355972</v>
      </c>
      <c r="Z86" s="468">
        <v>27029.408834977257</v>
      </c>
      <c r="AA86" s="468">
        <v>5187.1466233306492</v>
      </c>
      <c r="AB86" s="468">
        <v>29585.499854966391</v>
      </c>
      <c r="AC86" s="468">
        <v>5358.3998444969511</v>
      </c>
      <c r="AD86" s="468">
        <v>29393.286149927062</v>
      </c>
      <c r="AE86" s="460">
        <f t="shared" si="186"/>
        <v>158082.89661275462</v>
      </c>
      <c r="AF86" s="469">
        <v>0</v>
      </c>
      <c r="AG86" s="468">
        <v>75347.756509093408</v>
      </c>
      <c r="AH86" s="468">
        <v>0</v>
      </c>
      <c r="AI86" s="468">
        <v>35079.441341724014</v>
      </c>
      <c r="AJ86" s="468">
        <v>0</v>
      </c>
      <c r="AK86" s="468">
        <v>40458.753007287058</v>
      </c>
      <c r="AL86" s="468">
        <v>0</v>
      </c>
      <c r="AM86" s="468">
        <v>38909.178045545959</v>
      </c>
      <c r="AN86" s="462">
        <f t="shared" si="187"/>
        <v>189795.12890365045</v>
      </c>
      <c r="AO86" s="463">
        <f t="shared" si="188"/>
        <v>347878.02551640506</v>
      </c>
      <c r="AP86" s="343">
        <v>58</v>
      </c>
      <c r="AQ86" s="468">
        <v>916465.11584366497</v>
      </c>
      <c r="AR86" s="468">
        <v>2069406.9508769689</v>
      </c>
      <c r="AS86" s="468">
        <v>582291.14790963812</v>
      </c>
      <c r="AT86" s="468">
        <v>1299271.633492914</v>
      </c>
      <c r="AU86" s="468">
        <v>659703.45562614722</v>
      </c>
      <c r="AV86" s="468">
        <v>1469005.1745623881</v>
      </c>
      <c r="AW86" s="468">
        <v>695272.05983555922</v>
      </c>
      <c r="AX86" s="468">
        <v>1491084.952679388</v>
      </c>
      <c r="AY86" s="460">
        <f t="shared" si="189"/>
        <v>9182500.4908266682</v>
      </c>
      <c r="AZ86" s="469">
        <v>0</v>
      </c>
      <c r="BA86" s="468">
        <v>1864334.822369047</v>
      </c>
      <c r="BB86" s="468">
        <v>0</v>
      </c>
      <c r="BC86" s="468">
        <v>894347.24750345293</v>
      </c>
      <c r="BD86" s="468">
        <v>0</v>
      </c>
      <c r="BE86" s="468">
        <v>1096739.0423556536</v>
      </c>
      <c r="BF86" s="468">
        <v>0</v>
      </c>
      <c r="BG86" s="468">
        <v>1070153.9720376416</v>
      </c>
      <c r="BH86" s="462">
        <f t="shared" si="190"/>
        <v>4925575.0842657946</v>
      </c>
      <c r="BI86" s="463">
        <f t="shared" si="191"/>
        <v>14108075.575092463</v>
      </c>
      <c r="BJ86" s="343">
        <v>58</v>
      </c>
      <c r="BK86" s="468">
        <v>18888.830675623089</v>
      </c>
      <c r="BL86" s="468">
        <v>202689.12638130167</v>
      </c>
      <c r="BM86" s="468">
        <v>12069.511954210746</v>
      </c>
      <c r="BN86" s="468">
        <v>118911.0509767995</v>
      </c>
      <c r="BO86" s="468">
        <v>11605.940659931015</v>
      </c>
      <c r="BP86" s="468">
        <v>123489.78528595109</v>
      </c>
      <c r="BQ86" s="468">
        <v>14415.501341668491</v>
      </c>
      <c r="BR86" s="468">
        <v>128820.86286853951</v>
      </c>
      <c r="BS86" s="460">
        <f t="shared" si="192"/>
        <v>630890.61014402506</v>
      </c>
      <c r="BT86" s="469">
        <v>0</v>
      </c>
      <c r="BU86" s="468">
        <v>67346.37162961025</v>
      </c>
      <c r="BV86" s="468">
        <v>0</v>
      </c>
      <c r="BW86" s="468">
        <v>34095.540005067385</v>
      </c>
      <c r="BX86" s="468">
        <v>0</v>
      </c>
      <c r="BY86" s="468">
        <v>39820.218394342803</v>
      </c>
      <c r="BZ86" s="468">
        <v>0</v>
      </c>
      <c r="CA86" s="468">
        <v>47216.763768942998</v>
      </c>
      <c r="CB86" s="462">
        <f t="shared" si="193"/>
        <v>188478.89379796345</v>
      </c>
      <c r="CC86" s="463">
        <f t="shared" si="194"/>
        <v>819369.50394198857</v>
      </c>
      <c r="CD86" s="343">
        <v>58</v>
      </c>
      <c r="CE86" s="462">
        <f t="shared" si="195"/>
        <v>3423617.1610694975</v>
      </c>
      <c r="CF86" s="462">
        <f t="shared" si="196"/>
        <v>2142780.495887368</v>
      </c>
      <c r="CG86" s="462">
        <f t="shared" si="197"/>
        <v>2407160.9226514348</v>
      </c>
      <c r="CH86" s="462">
        <f t="shared" si="198"/>
        <v>2471848.9752386282</v>
      </c>
      <c r="CI86" s="464">
        <f t="shared" si="199"/>
        <v>10445407.554846928</v>
      </c>
      <c r="CJ86" s="462">
        <f t="shared" si="200"/>
        <v>2250578.3527695988</v>
      </c>
      <c r="CK86" s="462">
        <f t="shared" si="201"/>
        <v>1093118.1839414251</v>
      </c>
      <c r="CL86" s="462">
        <f t="shared" si="202"/>
        <v>1328751.3256328176</v>
      </c>
      <c r="CM86" s="462">
        <f t="shared" si="203"/>
        <v>1304005.7821501787</v>
      </c>
      <c r="CN86" s="464">
        <f t="shared" si="204"/>
        <v>5976453.6444940204</v>
      </c>
      <c r="CO86" s="462">
        <f t="shared" si="205"/>
        <v>5674195.5138390977</v>
      </c>
      <c r="CP86" s="462">
        <f t="shared" si="206"/>
        <v>3235898.6798287928</v>
      </c>
      <c r="CQ86" s="462">
        <f t="shared" si="207"/>
        <v>3735912.2482842528</v>
      </c>
      <c r="CR86" s="462">
        <f t="shared" si="208"/>
        <v>3775854.7573888069</v>
      </c>
      <c r="CS86" s="464">
        <f t="shared" si="209"/>
        <v>16421861.199340949</v>
      </c>
    </row>
    <row r="87" spans="1:131" ht="15.75" customHeight="1" x14ac:dyDescent="0.25">
      <c r="B87" s="343"/>
      <c r="C87" s="207" t="s">
        <v>32</v>
      </c>
      <c r="D87" s="207" t="s">
        <v>32</v>
      </c>
      <c r="E87" s="207" t="s">
        <v>32</v>
      </c>
      <c r="F87" s="207" t="s">
        <v>32</v>
      </c>
      <c r="G87" s="207" t="s">
        <v>32</v>
      </c>
      <c r="H87" s="207" t="s">
        <v>32</v>
      </c>
      <c r="I87" s="207" t="s">
        <v>32</v>
      </c>
      <c r="J87" s="207" t="s">
        <v>32</v>
      </c>
      <c r="K87" s="426"/>
      <c r="L87" s="427" t="s">
        <v>32</v>
      </c>
      <c r="M87" s="207" t="s">
        <v>32</v>
      </c>
      <c r="N87" s="207" t="s">
        <v>32</v>
      </c>
      <c r="O87" s="207" t="s">
        <v>32</v>
      </c>
      <c r="P87" s="207" t="s">
        <v>32</v>
      </c>
      <c r="Q87" s="207" t="s">
        <v>32</v>
      </c>
      <c r="R87" s="207" t="s">
        <v>32</v>
      </c>
      <c r="S87" s="207" t="s">
        <v>32</v>
      </c>
      <c r="T87" s="428" t="s">
        <v>32</v>
      </c>
      <c r="U87" s="427" t="s">
        <v>32</v>
      </c>
      <c r="V87" s="343"/>
      <c r="W87" s="207" t="s">
        <v>32</v>
      </c>
      <c r="X87" s="207" t="s">
        <v>32</v>
      </c>
      <c r="Y87" s="207" t="s">
        <v>32</v>
      </c>
      <c r="Z87" s="207" t="s">
        <v>32</v>
      </c>
      <c r="AA87" s="207" t="s">
        <v>32</v>
      </c>
      <c r="AB87" s="207" t="s">
        <v>32</v>
      </c>
      <c r="AC87" s="207" t="s">
        <v>32</v>
      </c>
      <c r="AD87" s="207" t="s">
        <v>32</v>
      </c>
      <c r="AE87" s="426"/>
      <c r="AF87" s="427" t="s">
        <v>32</v>
      </c>
      <c r="AG87" s="207" t="s">
        <v>32</v>
      </c>
      <c r="AH87" s="207" t="s">
        <v>32</v>
      </c>
      <c r="AI87" s="207" t="s">
        <v>32</v>
      </c>
      <c r="AJ87" s="207" t="s">
        <v>32</v>
      </c>
      <c r="AK87" s="207" t="s">
        <v>32</v>
      </c>
      <c r="AL87" s="207" t="s">
        <v>32</v>
      </c>
      <c r="AM87" s="207" t="s">
        <v>32</v>
      </c>
      <c r="AN87" s="428" t="s">
        <v>32</v>
      </c>
      <c r="AO87" s="427" t="s">
        <v>32</v>
      </c>
      <c r="AP87" s="343"/>
      <c r="AQ87" s="207" t="s">
        <v>32</v>
      </c>
      <c r="AR87" s="207" t="s">
        <v>32</v>
      </c>
      <c r="AS87" s="207" t="s">
        <v>32</v>
      </c>
      <c r="AT87" s="207" t="s">
        <v>32</v>
      </c>
      <c r="AU87" s="207" t="s">
        <v>32</v>
      </c>
      <c r="AV87" s="207" t="s">
        <v>32</v>
      </c>
      <c r="AW87" s="207" t="s">
        <v>32</v>
      </c>
      <c r="AX87" s="207" t="s">
        <v>32</v>
      </c>
      <c r="AY87" s="426"/>
      <c r="AZ87" s="427" t="s">
        <v>32</v>
      </c>
      <c r="BA87" s="207" t="s">
        <v>32</v>
      </c>
      <c r="BB87" s="207" t="s">
        <v>32</v>
      </c>
      <c r="BC87" s="207" t="s">
        <v>32</v>
      </c>
      <c r="BD87" s="207" t="s">
        <v>32</v>
      </c>
      <c r="BE87" s="207" t="s">
        <v>32</v>
      </c>
      <c r="BF87" s="207" t="s">
        <v>32</v>
      </c>
      <c r="BG87" s="207" t="s">
        <v>32</v>
      </c>
      <c r="BH87" s="428" t="s">
        <v>32</v>
      </c>
      <c r="BI87" s="427" t="s">
        <v>32</v>
      </c>
      <c r="BJ87" s="343"/>
      <c r="BK87" s="207" t="s">
        <v>32</v>
      </c>
      <c r="BL87" s="207" t="s">
        <v>32</v>
      </c>
      <c r="BM87" s="207" t="s">
        <v>32</v>
      </c>
      <c r="BN87" s="207" t="s">
        <v>32</v>
      </c>
      <c r="BO87" s="207" t="s">
        <v>32</v>
      </c>
      <c r="BP87" s="207" t="s">
        <v>32</v>
      </c>
      <c r="BQ87" s="207" t="s">
        <v>32</v>
      </c>
      <c r="BR87" s="207" t="s">
        <v>32</v>
      </c>
      <c r="BS87" s="426"/>
      <c r="BT87" s="427" t="s">
        <v>32</v>
      </c>
      <c r="BU87" s="207" t="s">
        <v>32</v>
      </c>
      <c r="BV87" s="207" t="s">
        <v>32</v>
      </c>
      <c r="BW87" s="207" t="s">
        <v>32</v>
      </c>
      <c r="BX87" s="207" t="s">
        <v>32</v>
      </c>
      <c r="BY87" s="207" t="s">
        <v>32</v>
      </c>
      <c r="BZ87" s="207" t="s">
        <v>32</v>
      </c>
      <c r="CA87" s="207" t="s">
        <v>32</v>
      </c>
      <c r="CB87" s="428" t="s">
        <v>32</v>
      </c>
      <c r="CC87" s="427" t="s">
        <v>32</v>
      </c>
      <c r="CD87" s="343"/>
      <c r="CE87" s="428" t="s">
        <v>32</v>
      </c>
      <c r="CF87" s="428"/>
      <c r="CG87" s="428"/>
      <c r="CH87" s="428"/>
      <c r="CI87" s="207"/>
      <c r="CJ87" s="428" t="s">
        <v>32</v>
      </c>
      <c r="CK87" s="428"/>
      <c r="CL87" s="428"/>
      <c r="CM87" s="428"/>
      <c r="CN87" s="207"/>
      <c r="CO87" s="428" t="s">
        <v>32</v>
      </c>
      <c r="CP87" s="428"/>
      <c r="CQ87" s="428"/>
      <c r="CR87" s="428"/>
      <c r="CS87" s="207"/>
    </row>
    <row r="88" spans="1:131" s="17" customFormat="1" ht="15.75" customHeight="1" x14ac:dyDescent="0.25">
      <c r="A88" s="19" t="s">
        <v>423</v>
      </c>
      <c r="B88" s="343">
        <v>59</v>
      </c>
      <c r="C88" s="236">
        <f t="shared" ref="C88:U88" si="210">SUM(C76:C86)</f>
        <v>102285.80328818655</v>
      </c>
      <c r="D88" s="236">
        <f t="shared" si="210"/>
        <v>193930.68875667569</v>
      </c>
      <c r="E88" s="236">
        <f t="shared" si="210"/>
        <v>117360.17039351564</v>
      </c>
      <c r="F88" s="236">
        <f t="shared" si="210"/>
        <v>226975.46401569594</v>
      </c>
      <c r="G88" s="236">
        <f t="shared" si="210"/>
        <v>116913.75735545695</v>
      </c>
      <c r="H88" s="236">
        <f t="shared" si="210"/>
        <v>233714.78811886429</v>
      </c>
      <c r="I88" s="236">
        <f t="shared" si="210"/>
        <v>123906.32879894532</v>
      </c>
      <c r="J88" s="236">
        <f t="shared" si="210"/>
        <v>240913.66359684133</v>
      </c>
      <c r="K88" s="241">
        <f t="shared" si="210"/>
        <v>1356000.6643241819</v>
      </c>
      <c r="L88" s="238">
        <f t="shared" si="210"/>
        <v>0</v>
      </c>
      <c r="M88" s="236">
        <f t="shared" si="210"/>
        <v>451144.09848977951</v>
      </c>
      <c r="N88" s="236">
        <f t="shared" si="210"/>
        <v>0</v>
      </c>
      <c r="O88" s="236">
        <f t="shared" si="210"/>
        <v>455660.19256551133</v>
      </c>
      <c r="P88" s="236">
        <f t="shared" si="210"/>
        <v>0</v>
      </c>
      <c r="Q88" s="236">
        <f t="shared" si="210"/>
        <v>489962.32981778932</v>
      </c>
      <c r="R88" s="236">
        <f t="shared" si="210"/>
        <v>0</v>
      </c>
      <c r="S88" s="236">
        <f t="shared" si="210"/>
        <v>501315.24412756029</v>
      </c>
      <c r="T88" s="239">
        <f t="shared" si="210"/>
        <v>1898081.8650006405</v>
      </c>
      <c r="U88" s="240">
        <f t="shared" si="210"/>
        <v>3254082.5293248221</v>
      </c>
      <c r="V88" s="343">
        <v>59</v>
      </c>
      <c r="W88" s="236">
        <f t="shared" ref="W88:AO88" si="211">SUM(W76:W86)</f>
        <v>15819.482472624004</v>
      </c>
      <c r="X88" s="236">
        <f t="shared" si="211"/>
        <v>88385.982469451556</v>
      </c>
      <c r="Y88" s="236">
        <f t="shared" si="211"/>
        <v>18543.437614490875</v>
      </c>
      <c r="Z88" s="236">
        <f t="shared" si="211"/>
        <v>95035.571334091888</v>
      </c>
      <c r="AA88" s="236">
        <f t="shared" si="211"/>
        <v>16749.825158751864</v>
      </c>
      <c r="AB88" s="236">
        <f t="shared" si="211"/>
        <v>95534.59460275936</v>
      </c>
      <c r="AC88" s="236">
        <f t="shared" si="211"/>
        <v>18184.002281559529</v>
      </c>
      <c r="AD88" s="236">
        <f t="shared" si="211"/>
        <v>99747.610839777422</v>
      </c>
      <c r="AE88" s="241">
        <f t="shared" si="211"/>
        <v>448000.50677350652</v>
      </c>
      <c r="AF88" s="238">
        <f t="shared" si="211"/>
        <v>0</v>
      </c>
      <c r="AG88" s="236">
        <f t="shared" si="211"/>
        <v>139572.07600524364</v>
      </c>
      <c r="AH88" s="236">
        <f t="shared" si="211"/>
        <v>0</v>
      </c>
      <c r="AI88" s="236">
        <f t="shared" si="211"/>
        <v>123339.5362194317</v>
      </c>
      <c r="AJ88" s="236">
        <f t="shared" si="211"/>
        <v>0</v>
      </c>
      <c r="AK88" s="236">
        <f t="shared" si="211"/>
        <v>130645.43731328928</v>
      </c>
      <c r="AL88" s="236">
        <f t="shared" si="211"/>
        <v>0</v>
      </c>
      <c r="AM88" s="236">
        <f t="shared" si="211"/>
        <v>132040.27375456828</v>
      </c>
      <c r="AN88" s="239">
        <f t="shared" si="211"/>
        <v>525597.32329253294</v>
      </c>
      <c r="AO88" s="240">
        <f t="shared" si="211"/>
        <v>973597.83006603946</v>
      </c>
      <c r="AP88" s="343">
        <v>59</v>
      </c>
      <c r="AQ88" s="236">
        <f t="shared" ref="AQ88:BI88" si="212">SUM(AQ76:AQ86)</f>
        <v>1697634.3388439063</v>
      </c>
      <c r="AR88" s="236">
        <f t="shared" si="212"/>
        <v>3833311.5359409796</v>
      </c>
      <c r="AS88" s="236">
        <f t="shared" si="212"/>
        <v>2047339.3355450062</v>
      </c>
      <c r="AT88" s="236">
        <f t="shared" si="212"/>
        <v>4568247.228825558</v>
      </c>
      <c r="AU88" s="236">
        <f t="shared" si="212"/>
        <v>2130249.7000301238</v>
      </c>
      <c r="AV88" s="236">
        <f t="shared" si="212"/>
        <v>4743567.4404404256</v>
      </c>
      <c r="AW88" s="236">
        <f t="shared" si="212"/>
        <v>2359441.0811538296</v>
      </c>
      <c r="AX88" s="236">
        <f t="shared" si="212"/>
        <v>5060072.5903959731</v>
      </c>
      <c r="AY88" s="241">
        <f t="shared" si="212"/>
        <v>26439863.251175798</v>
      </c>
      <c r="AZ88" s="238">
        <f t="shared" si="212"/>
        <v>0</v>
      </c>
      <c r="BA88" s="236">
        <f t="shared" si="212"/>
        <v>3453441.662798699</v>
      </c>
      <c r="BB88" s="236">
        <f t="shared" si="212"/>
        <v>0</v>
      </c>
      <c r="BC88" s="236">
        <f t="shared" si="212"/>
        <v>3144530.5428795051</v>
      </c>
      <c r="BD88" s="236">
        <f t="shared" si="212"/>
        <v>0</v>
      </c>
      <c r="BE88" s="236">
        <f t="shared" si="212"/>
        <v>3541482.1554511441</v>
      </c>
      <c r="BF88" s="236">
        <f t="shared" si="212"/>
        <v>0</v>
      </c>
      <c r="BG88" s="236">
        <f t="shared" si="212"/>
        <v>3631621.9083832381</v>
      </c>
      <c r="BH88" s="239">
        <f t="shared" si="212"/>
        <v>13771076.269512586</v>
      </c>
      <c r="BI88" s="240">
        <f t="shared" si="212"/>
        <v>40210939.520688385</v>
      </c>
      <c r="BJ88" s="343">
        <v>59</v>
      </c>
      <c r="BK88" s="236">
        <f t="shared" ref="BK88:CC88" si="213">SUM(BK76:BK86)</f>
        <v>34989.141453602177</v>
      </c>
      <c r="BL88" s="236">
        <f t="shared" si="213"/>
        <v>375455.66667686112</v>
      </c>
      <c r="BM88" s="236">
        <f t="shared" si="213"/>
        <v>42436.479883635424</v>
      </c>
      <c r="BN88" s="236">
        <f t="shared" si="213"/>
        <v>418092.00254848908</v>
      </c>
      <c r="BO88" s="236">
        <f t="shared" si="213"/>
        <v>37476.765353486728</v>
      </c>
      <c r="BP88" s="236">
        <f t="shared" si="213"/>
        <v>398761.10367270786</v>
      </c>
      <c r="BQ88" s="236">
        <f t="shared" si="213"/>
        <v>48919.736655324807</v>
      </c>
      <c r="BR88" s="236">
        <f t="shared" si="213"/>
        <v>437160.14711363934</v>
      </c>
      <c r="BS88" s="241">
        <f t="shared" si="213"/>
        <v>1793291.0433577462</v>
      </c>
      <c r="BT88" s="238">
        <f t="shared" si="213"/>
        <v>0</v>
      </c>
      <c r="BU88" s="236">
        <f t="shared" si="213"/>
        <v>124750.53452495215</v>
      </c>
      <c r="BV88" s="236">
        <f t="shared" si="213"/>
        <v>0</v>
      </c>
      <c r="BW88" s="236">
        <f t="shared" si="213"/>
        <v>119880.13293627373</v>
      </c>
      <c r="BX88" s="236">
        <f t="shared" si="213"/>
        <v>0</v>
      </c>
      <c r="BY88" s="236">
        <f t="shared" si="213"/>
        <v>128583.54396396264</v>
      </c>
      <c r="BZ88" s="236">
        <f t="shared" si="213"/>
        <v>0</v>
      </c>
      <c r="CA88" s="236">
        <f t="shared" si="213"/>
        <v>160232.48824629688</v>
      </c>
      <c r="CB88" s="239">
        <f t="shared" si="213"/>
        <v>533446.69967148546</v>
      </c>
      <c r="CC88" s="240">
        <f t="shared" si="213"/>
        <v>2326737.7430292317</v>
      </c>
      <c r="CD88" s="343">
        <v>59</v>
      </c>
      <c r="CE88" s="239">
        <f t="shared" ref="CE88:CH88" si="214">SUM(CE76:CE86)</f>
        <v>6341812.6399022862</v>
      </c>
      <c r="CF88" s="239">
        <f t="shared" si="214"/>
        <v>7534029.6901604841</v>
      </c>
      <c r="CG88" s="239">
        <f t="shared" si="214"/>
        <v>7772967.9747325759</v>
      </c>
      <c r="CH88" s="239">
        <f t="shared" si="214"/>
        <v>8388345.1608358901</v>
      </c>
      <c r="CI88" s="236">
        <f>SUM(CI76:CI86)</f>
        <v>30037155.465631235</v>
      </c>
      <c r="CJ88" s="239">
        <f t="shared" ref="CJ88:CM88" si="215">SUM(CJ76:CJ86)</f>
        <v>4168908.3718186738</v>
      </c>
      <c r="CK88" s="239">
        <f t="shared" si="215"/>
        <v>3843410.4046007227</v>
      </c>
      <c r="CL88" s="239">
        <f t="shared" si="215"/>
        <v>4290673.4665461853</v>
      </c>
      <c r="CM88" s="239">
        <f t="shared" si="215"/>
        <v>4425209.9145116638</v>
      </c>
      <c r="CN88" s="236">
        <f>SUM(CN76:CN86)</f>
        <v>16728202.157477245</v>
      </c>
      <c r="CO88" s="239">
        <f t="shared" ref="CO88:CR88" si="216">SUM(CO76:CO86)</f>
        <v>10510721.011720963</v>
      </c>
      <c r="CP88" s="239">
        <f t="shared" si="216"/>
        <v>11377440.094761204</v>
      </c>
      <c r="CQ88" s="239">
        <f t="shared" si="216"/>
        <v>12063641.441278761</v>
      </c>
      <c r="CR88" s="239">
        <f t="shared" si="216"/>
        <v>12813555.075347554</v>
      </c>
      <c r="CS88" s="236">
        <f>SUM(CS76:CS86)</f>
        <v>46765357.623108484</v>
      </c>
      <c r="CT88" s="361"/>
      <c r="CU88" s="361"/>
      <c r="CV88" s="361"/>
      <c r="CW88" s="361"/>
      <c r="CX88" s="361"/>
      <c r="CY88" s="361"/>
      <c r="CZ88" s="361"/>
      <c r="DA88" s="361"/>
      <c r="DB88" s="361"/>
      <c r="DC88" s="361"/>
      <c r="DD88" s="361"/>
      <c r="DE88" s="361"/>
      <c r="DF88" s="361"/>
      <c r="DG88" s="361"/>
      <c r="DH88" s="361"/>
      <c r="DI88" s="361"/>
      <c r="DJ88" s="361"/>
      <c r="DK88" s="361"/>
      <c r="DL88" s="361"/>
      <c r="DM88" s="361"/>
      <c r="DN88" s="361"/>
      <c r="DO88" s="361"/>
      <c r="DP88" s="361"/>
      <c r="DQ88" s="361"/>
      <c r="DR88" s="361"/>
      <c r="DS88" s="361"/>
      <c r="DT88" s="361"/>
      <c r="DU88" s="361"/>
      <c r="DV88" s="361"/>
      <c r="DW88" s="361"/>
      <c r="DX88" s="361"/>
      <c r="DY88" s="361"/>
      <c r="DZ88" s="361"/>
      <c r="EA88" s="361"/>
    </row>
    <row r="89" spans="1:131" ht="15.75" customHeight="1" x14ac:dyDescent="0.25">
      <c r="B89" s="343"/>
      <c r="C89" s="207" t="s">
        <v>32</v>
      </c>
      <c r="D89" s="207" t="s">
        <v>32</v>
      </c>
      <c r="E89" s="207" t="s">
        <v>32</v>
      </c>
      <c r="F89" s="207" t="s">
        <v>32</v>
      </c>
      <c r="G89" s="207" t="s">
        <v>32</v>
      </c>
      <c r="H89" s="207" t="s">
        <v>32</v>
      </c>
      <c r="I89" s="207" t="s">
        <v>32</v>
      </c>
      <c r="J89" s="207" t="s">
        <v>32</v>
      </c>
      <c r="K89" s="426"/>
      <c r="L89" s="427" t="s">
        <v>32</v>
      </c>
      <c r="M89" s="207" t="s">
        <v>32</v>
      </c>
      <c r="N89" s="207" t="s">
        <v>32</v>
      </c>
      <c r="O89" s="207" t="s">
        <v>32</v>
      </c>
      <c r="P89" s="207" t="s">
        <v>32</v>
      </c>
      <c r="Q89" s="207" t="s">
        <v>32</v>
      </c>
      <c r="R89" s="207" t="s">
        <v>32</v>
      </c>
      <c r="S89" s="207" t="s">
        <v>32</v>
      </c>
      <c r="T89" s="428" t="s">
        <v>32</v>
      </c>
      <c r="U89" s="470" t="s">
        <v>32</v>
      </c>
      <c r="V89" s="343"/>
      <c r="W89" s="207" t="s">
        <v>32</v>
      </c>
      <c r="X89" s="207" t="s">
        <v>32</v>
      </c>
      <c r="Y89" s="207" t="s">
        <v>32</v>
      </c>
      <c r="Z89" s="207" t="s">
        <v>32</v>
      </c>
      <c r="AA89" s="207" t="s">
        <v>32</v>
      </c>
      <c r="AB89" s="207" t="s">
        <v>32</v>
      </c>
      <c r="AC89" s="207" t="s">
        <v>32</v>
      </c>
      <c r="AD89" s="207" t="s">
        <v>32</v>
      </c>
      <c r="AE89" s="426"/>
      <c r="AF89" s="427" t="s">
        <v>32</v>
      </c>
      <c r="AG89" s="207" t="s">
        <v>32</v>
      </c>
      <c r="AH89" s="207" t="s">
        <v>32</v>
      </c>
      <c r="AI89" s="207" t="s">
        <v>32</v>
      </c>
      <c r="AJ89" s="207" t="s">
        <v>32</v>
      </c>
      <c r="AK89" s="207" t="s">
        <v>32</v>
      </c>
      <c r="AL89" s="207" t="s">
        <v>32</v>
      </c>
      <c r="AM89" s="207" t="s">
        <v>32</v>
      </c>
      <c r="AN89" s="428" t="s">
        <v>32</v>
      </c>
      <c r="AO89" s="470" t="s">
        <v>32</v>
      </c>
      <c r="AP89" s="343"/>
      <c r="AQ89" s="207" t="s">
        <v>32</v>
      </c>
      <c r="AR89" s="207" t="s">
        <v>32</v>
      </c>
      <c r="AS89" s="207" t="s">
        <v>32</v>
      </c>
      <c r="AT89" s="207" t="s">
        <v>32</v>
      </c>
      <c r="AU89" s="207" t="s">
        <v>32</v>
      </c>
      <c r="AV89" s="207" t="s">
        <v>32</v>
      </c>
      <c r="AW89" s="207" t="s">
        <v>32</v>
      </c>
      <c r="AX89" s="207" t="s">
        <v>32</v>
      </c>
      <c r="AY89" s="426"/>
      <c r="AZ89" s="427" t="s">
        <v>32</v>
      </c>
      <c r="BA89" s="207" t="s">
        <v>32</v>
      </c>
      <c r="BB89" s="207" t="s">
        <v>32</v>
      </c>
      <c r="BC89" s="207" t="s">
        <v>32</v>
      </c>
      <c r="BD89" s="207" t="s">
        <v>32</v>
      </c>
      <c r="BE89" s="207" t="s">
        <v>32</v>
      </c>
      <c r="BF89" s="207" t="s">
        <v>32</v>
      </c>
      <c r="BG89" s="207" t="s">
        <v>32</v>
      </c>
      <c r="BH89" s="428" t="s">
        <v>32</v>
      </c>
      <c r="BI89" s="470" t="s">
        <v>32</v>
      </c>
      <c r="BJ89" s="343"/>
      <c r="BK89" s="207" t="s">
        <v>32</v>
      </c>
      <c r="BL89" s="207" t="s">
        <v>32</v>
      </c>
      <c r="BM89" s="207" t="s">
        <v>32</v>
      </c>
      <c r="BN89" s="207" t="s">
        <v>32</v>
      </c>
      <c r="BO89" s="207" t="s">
        <v>32</v>
      </c>
      <c r="BP89" s="207" t="s">
        <v>32</v>
      </c>
      <c r="BQ89" s="207" t="s">
        <v>32</v>
      </c>
      <c r="BR89" s="207" t="s">
        <v>32</v>
      </c>
      <c r="BS89" s="426"/>
      <c r="BT89" s="427" t="s">
        <v>32</v>
      </c>
      <c r="BU89" s="207" t="s">
        <v>32</v>
      </c>
      <c r="BV89" s="207" t="s">
        <v>32</v>
      </c>
      <c r="BW89" s="207" t="s">
        <v>32</v>
      </c>
      <c r="BX89" s="207" t="s">
        <v>32</v>
      </c>
      <c r="BY89" s="207" t="s">
        <v>32</v>
      </c>
      <c r="BZ89" s="207" t="s">
        <v>32</v>
      </c>
      <c r="CA89" s="207" t="s">
        <v>32</v>
      </c>
      <c r="CB89" s="428" t="s">
        <v>32</v>
      </c>
      <c r="CC89" s="470" t="s">
        <v>32</v>
      </c>
      <c r="CD89" s="343"/>
      <c r="CE89" s="428" t="s">
        <v>32</v>
      </c>
      <c r="CF89" s="428"/>
      <c r="CG89" s="428"/>
      <c r="CH89" s="428"/>
      <c r="CI89" s="207"/>
      <c r="CJ89" s="428" t="s">
        <v>32</v>
      </c>
      <c r="CK89" s="428"/>
      <c r="CL89" s="428"/>
      <c r="CM89" s="428"/>
      <c r="CN89" s="207"/>
      <c r="CO89" s="428" t="s">
        <v>32</v>
      </c>
      <c r="CP89" s="428"/>
      <c r="CQ89" s="428"/>
      <c r="CR89" s="428"/>
      <c r="CS89" s="207"/>
    </row>
    <row r="90" spans="1:131" s="17" customFormat="1" ht="15.75" customHeight="1" x14ac:dyDescent="0.25">
      <c r="A90" s="19" t="s">
        <v>46</v>
      </c>
      <c r="B90" s="343">
        <v>60</v>
      </c>
      <c r="C90" s="236">
        <f t="shared" ref="C90:U90" si="217">C88+C66+C73-C70</f>
        <v>1519499.8525153908</v>
      </c>
      <c r="D90" s="236">
        <f t="shared" si="217"/>
        <v>3441767.6582068503</v>
      </c>
      <c r="E90" s="236">
        <f t="shared" si="217"/>
        <v>3648399.8777047675</v>
      </c>
      <c r="F90" s="236">
        <f t="shared" si="217"/>
        <v>8012596.9641449051</v>
      </c>
      <c r="G90" s="236">
        <f t="shared" si="217"/>
        <v>3710249.0032681474</v>
      </c>
      <c r="H90" s="236">
        <f t="shared" si="217"/>
        <v>7329162.0959238131</v>
      </c>
      <c r="I90" s="236">
        <f t="shared" si="217"/>
        <v>3338414.2727435813</v>
      </c>
      <c r="J90" s="236">
        <f t="shared" si="217"/>
        <v>6117150.7495719856</v>
      </c>
      <c r="K90" s="241">
        <f t="shared" si="217"/>
        <v>37117240.47407943</v>
      </c>
      <c r="L90" s="238">
        <f t="shared" si="217"/>
        <v>0</v>
      </c>
      <c r="M90" s="236">
        <f t="shared" si="217"/>
        <v>4747744.7586033158</v>
      </c>
      <c r="N90" s="236">
        <f t="shared" si="217"/>
        <v>0</v>
      </c>
      <c r="O90" s="236">
        <f t="shared" si="217"/>
        <v>9750160.9853965398</v>
      </c>
      <c r="P90" s="236">
        <f t="shared" si="217"/>
        <v>0</v>
      </c>
      <c r="Q90" s="236">
        <f t="shared" si="217"/>
        <v>9203703.1016944814</v>
      </c>
      <c r="R90" s="236">
        <f t="shared" si="217"/>
        <v>0</v>
      </c>
      <c r="S90" s="236">
        <f t="shared" si="217"/>
        <v>8517921.5510313697</v>
      </c>
      <c r="T90" s="239">
        <f t="shared" si="217"/>
        <v>32219530.396725707</v>
      </c>
      <c r="U90" s="240">
        <f t="shared" si="217"/>
        <v>69336770.870805159</v>
      </c>
      <c r="V90" s="343">
        <v>60</v>
      </c>
      <c r="W90" s="236">
        <f t="shared" ref="W90:AO90" si="218">W88+W66+W73-W70</f>
        <v>195728.0752210707</v>
      </c>
      <c r="X90" s="236">
        <f t="shared" si="218"/>
        <v>746362.17486660264</v>
      </c>
      <c r="Y90" s="236">
        <f t="shared" si="218"/>
        <v>112395.68062901156</v>
      </c>
      <c r="Z90" s="236">
        <f t="shared" si="218"/>
        <v>687821.64390167128</v>
      </c>
      <c r="AA90" s="236">
        <f t="shared" si="218"/>
        <v>108191.80809468357</v>
      </c>
      <c r="AB90" s="236">
        <f t="shared" si="218"/>
        <v>640133.34613954718</v>
      </c>
      <c r="AC90" s="236">
        <f t="shared" si="218"/>
        <v>146044.32265404545</v>
      </c>
      <c r="AD90" s="236">
        <f t="shared" si="218"/>
        <v>650539.10805722128</v>
      </c>
      <c r="AE90" s="241">
        <f t="shared" si="218"/>
        <v>3287216.1595638539</v>
      </c>
      <c r="AF90" s="238">
        <f t="shared" si="218"/>
        <v>0</v>
      </c>
      <c r="AG90" s="236">
        <f t="shared" si="218"/>
        <v>1675100.3162182793</v>
      </c>
      <c r="AH90" s="236">
        <f t="shared" si="218"/>
        <v>0</v>
      </c>
      <c r="AI90" s="236">
        <f t="shared" si="218"/>
        <v>1290920.2577882176</v>
      </c>
      <c r="AJ90" s="236">
        <f t="shared" si="218"/>
        <v>0</v>
      </c>
      <c r="AK90" s="236">
        <f t="shared" si="218"/>
        <v>1424870.1070593179</v>
      </c>
      <c r="AL90" s="236">
        <f t="shared" si="218"/>
        <v>0</v>
      </c>
      <c r="AM90" s="236">
        <f t="shared" si="218"/>
        <v>1636029.1897970783</v>
      </c>
      <c r="AN90" s="239">
        <f t="shared" si="218"/>
        <v>6026919.8708628928</v>
      </c>
      <c r="AO90" s="240">
        <f t="shared" si="218"/>
        <v>9314136.0304267444</v>
      </c>
      <c r="AP90" s="343">
        <v>60</v>
      </c>
      <c r="AQ90" s="236">
        <f t="shared" ref="AQ90:BI90" si="219">AQ88+AQ66+AQ73-AQ70</f>
        <v>20142745.842343878</v>
      </c>
      <c r="AR90" s="236">
        <f t="shared" si="219"/>
        <v>44413682.505412437</v>
      </c>
      <c r="AS90" s="236">
        <f t="shared" si="219"/>
        <v>18847411.830187816</v>
      </c>
      <c r="AT90" s="236">
        <f t="shared" si="219"/>
        <v>43690033.503611192</v>
      </c>
      <c r="AU90" s="236">
        <f t="shared" si="219"/>
        <v>21351981.75308045</v>
      </c>
      <c r="AV90" s="236">
        <f t="shared" si="219"/>
        <v>47021265.025175542</v>
      </c>
      <c r="AW90" s="236">
        <f t="shared" si="219"/>
        <v>24538579.633145943</v>
      </c>
      <c r="AX90" s="236">
        <f t="shared" si="219"/>
        <v>50138692.697325736</v>
      </c>
      <c r="AY90" s="241">
        <f t="shared" si="219"/>
        <v>270144392.79028296</v>
      </c>
      <c r="AZ90" s="238">
        <f t="shared" si="219"/>
        <v>0</v>
      </c>
      <c r="BA90" s="236">
        <f t="shared" si="219"/>
        <v>34951236.683684871</v>
      </c>
      <c r="BB90" s="236">
        <f t="shared" si="219"/>
        <v>0</v>
      </c>
      <c r="BC90" s="236">
        <f t="shared" si="219"/>
        <v>32984435.129230909</v>
      </c>
      <c r="BD90" s="236">
        <f t="shared" si="219"/>
        <v>0</v>
      </c>
      <c r="BE90" s="236">
        <f t="shared" si="219"/>
        <v>36484585.173347719</v>
      </c>
      <c r="BF90" s="236">
        <f t="shared" si="219"/>
        <v>0</v>
      </c>
      <c r="BG90" s="236">
        <f t="shared" si="219"/>
        <v>38928145.035172999</v>
      </c>
      <c r="BH90" s="239">
        <f t="shared" si="219"/>
        <v>143348402.02143648</v>
      </c>
      <c r="BI90" s="240">
        <f t="shared" si="219"/>
        <v>413492794.81171954</v>
      </c>
      <c r="BJ90" s="343">
        <v>60</v>
      </c>
      <c r="BK90" s="236">
        <f t="shared" ref="BK90:CC90" si="220">BK88+BK66+BK73-BK70</f>
        <v>591243.67037616961</v>
      </c>
      <c r="BL90" s="236">
        <f t="shared" si="220"/>
        <v>5063766.2920167278</v>
      </c>
      <c r="BM90" s="236">
        <f t="shared" si="220"/>
        <v>498727.02890228957</v>
      </c>
      <c r="BN90" s="236">
        <f t="shared" si="220"/>
        <v>4469465.6985042216</v>
      </c>
      <c r="BO90" s="236">
        <f t="shared" si="220"/>
        <v>515785.14299930015</v>
      </c>
      <c r="BP90" s="236">
        <f t="shared" si="220"/>
        <v>4864451.0707183108</v>
      </c>
      <c r="BQ90" s="236">
        <f t="shared" si="220"/>
        <v>761133.9084335079</v>
      </c>
      <c r="BR90" s="236">
        <f t="shared" si="220"/>
        <v>5038369.4809476621</v>
      </c>
      <c r="BS90" s="241">
        <f t="shared" si="220"/>
        <v>21802942.292898186</v>
      </c>
      <c r="BT90" s="238">
        <f t="shared" si="220"/>
        <v>0</v>
      </c>
      <c r="BU90" s="236">
        <f t="shared" si="220"/>
        <v>1765318.46401138</v>
      </c>
      <c r="BV90" s="236">
        <f t="shared" si="220"/>
        <v>0</v>
      </c>
      <c r="BW90" s="236">
        <f t="shared" si="220"/>
        <v>1959261.6751842157</v>
      </c>
      <c r="BX90" s="236">
        <f t="shared" si="220"/>
        <v>0</v>
      </c>
      <c r="BY90" s="236">
        <f t="shared" si="220"/>
        <v>1825845.5365101178</v>
      </c>
      <c r="BZ90" s="236">
        <f t="shared" si="220"/>
        <v>0</v>
      </c>
      <c r="CA90" s="236">
        <f t="shared" si="220"/>
        <v>2094466.3684555308</v>
      </c>
      <c r="CB90" s="239">
        <f t="shared" si="220"/>
        <v>7644892.0441612424</v>
      </c>
      <c r="CC90" s="240">
        <f t="shared" si="220"/>
        <v>29447834.337059435</v>
      </c>
      <c r="CD90" s="343">
        <v>60</v>
      </c>
      <c r="CE90" s="239">
        <f t="shared" ref="CE90:CS90" si="221">CE88+CE66+CE73-CE70</f>
        <v>76114796.070959136</v>
      </c>
      <c r="CF90" s="239">
        <f t="shared" si="221"/>
        <v>79966852.227585867</v>
      </c>
      <c r="CG90" s="239">
        <f t="shared" si="221"/>
        <v>85541219.245399833</v>
      </c>
      <c r="CH90" s="239">
        <f t="shared" si="221"/>
        <v>90728924.172879681</v>
      </c>
      <c r="CI90" s="236">
        <f t="shared" si="221"/>
        <v>332351791.71682441</v>
      </c>
      <c r="CJ90" s="239">
        <f t="shared" si="221"/>
        <v>43139400.222517855</v>
      </c>
      <c r="CK90" s="239">
        <f t="shared" si="221"/>
        <v>45984778.047599882</v>
      </c>
      <c r="CL90" s="239">
        <f t="shared" si="221"/>
        <v>48939003.918611623</v>
      </c>
      <c r="CM90" s="239">
        <f t="shared" si="221"/>
        <v>51176562.144456975</v>
      </c>
      <c r="CN90" s="236">
        <f t="shared" si="221"/>
        <v>16728202.157477245</v>
      </c>
      <c r="CO90" s="239">
        <f t="shared" si="221"/>
        <v>119254196.29347698</v>
      </c>
      <c r="CP90" s="239">
        <f t="shared" si="221"/>
        <v>125951630.27518578</v>
      </c>
      <c r="CQ90" s="239">
        <f t="shared" si="221"/>
        <v>134480223.16401142</v>
      </c>
      <c r="CR90" s="239">
        <f t="shared" si="221"/>
        <v>141905486.31733665</v>
      </c>
      <c r="CS90" s="236">
        <f t="shared" si="221"/>
        <v>521591536.0500108</v>
      </c>
      <c r="CT90" s="361"/>
      <c r="CU90" s="361"/>
      <c r="CV90" s="361"/>
      <c r="CW90" s="361"/>
      <c r="CX90" s="361"/>
      <c r="CY90" s="361"/>
      <c r="CZ90" s="361"/>
      <c r="DA90" s="361"/>
      <c r="DB90" s="361"/>
      <c r="DC90" s="361"/>
      <c r="DD90" s="361"/>
      <c r="DE90" s="361"/>
      <c r="DF90" s="361"/>
      <c r="DG90" s="361"/>
      <c r="DH90" s="361"/>
      <c r="DI90" s="361"/>
      <c r="DJ90" s="361"/>
      <c r="DK90" s="361"/>
      <c r="DL90" s="361"/>
      <c r="DM90" s="361"/>
      <c r="DN90" s="361"/>
      <c r="DO90" s="361"/>
      <c r="DP90" s="361"/>
      <c r="DQ90" s="361"/>
      <c r="DR90" s="361"/>
      <c r="DS90" s="361"/>
      <c r="DT90" s="361"/>
      <c r="DU90" s="361"/>
      <c r="DV90" s="361"/>
      <c r="DW90" s="361"/>
      <c r="DX90" s="361"/>
      <c r="DY90" s="361"/>
      <c r="DZ90" s="361"/>
      <c r="EA90" s="361"/>
    </row>
    <row r="91" spans="1:131" ht="15.75" customHeight="1" x14ac:dyDescent="0.25">
      <c r="B91" s="343"/>
      <c r="C91" s="207" t="s">
        <v>32</v>
      </c>
      <c r="D91" s="207" t="s">
        <v>32</v>
      </c>
      <c r="E91" s="207" t="s">
        <v>32</v>
      </c>
      <c r="F91" s="207" t="s">
        <v>32</v>
      </c>
      <c r="G91" s="207" t="s">
        <v>32</v>
      </c>
      <c r="H91" s="207" t="s">
        <v>32</v>
      </c>
      <c r="I91" s="207" t="s">
        <v>32</v>
      </c>
      <c r="J91" s="207" t="s">
        <v>32</v>
      </c>
      <c r="K91" s="426"/>
      <c r="L91" s="427" t="s">
        <v>32</v>
      </c>
      <c r="M91" s="207" t="s">
        <v>32</v>
      </c>
      <c r="N91" s="207" t="s">
        <v>32</v>
      </c>
      <c r="O91" s="207" t="s">
        <v>32</v>
      </c>
      <c r="P91" s="207" t="s">
        <v>32</v>
      </c>
      <c r="Q91" s="207" t="s">
        <v>32</v>
      </c>
      <c r="R91" s="207" t="s">
        <v>32</v>
      </c>
      <c r="S91" s="207" t="s">
        <v>32</v>
      </c>
      <c r="T91" s="428" t="s">
        <v>32</v>
      </c>
      <c r="U91" s="470" t="s">
        <v>32</v>
      </c>
      <c r="V91" s="343"/>
      <c r="W91" s="207" t="s">
        <v>32</v>
      </c>
      <c r="X91" s="207" t="s">
        <v>32</v>
      </c>
      <c r="Y91" s="207" t="s">
        <v>32</v>
      </c>
      <c r="Z91" s="207" t="s">
        <v>32</v>
      </c>
      <c r="AA91" s="207" t="s">
        <v>32</v>
      </c>
      <c r="AB91" s="207" t="s">
        <v>32</v>
      </c>
      <c r="AC91" s="207" t="s">
        <v>32</v>
      </c>
      <c r="AD91" s="207" t="s">
        <v>32</v>
      </c>
      <c r="AE91" s="426"/>
      <c r="AF91" s="427" t="s">
        <v>32</v>
      </c>
      <c r="AG91" s="207" t="s">
        <v>32</v>
      </c>
      <c r="AH91" s="207" t="s">
        <v>32</v>
      </c>
      <c r="AI91" s="207" t="s">
        <v>32</v>
      </c>
      <c r="AJ91" s="207" t="s">
        <v>32</v>
      </c>
      <c r="AK91" s="207" t="s">
        <v>32</v>
      </c>
      <c r="AL91" s="207" t="s">
        <v>32</v>
      </c>
      <c r="AM91" s="207" t="s">
        <v>32</v>
      </c>
      <c r="AN91" s="428"/>
      <c r="AO91" s="470" t="s">
        <v>32</v>
      </c>
      <c r="AP91" s="343"/>
      <c r="AQ91" s="207" t="s">
        <v>32</v>
      </c>
      <c r="AR91" s="207" t="s">
        <v>32</v>
      </c>
      <c r="AS91" s="207" t="s">
        <v>32</v>
      </c>
      <c r="AT91" s="207" t="s">
        <v>32</v>
      </c>
      <c r="AU91" s="207" t="s">
        <v>32</v>
      </c>
      <c r="AV91" s="207" t="s">
        <v>32</v>
      </c>
      <c r="AW91" s="207" t="s">
        <v>32</v>
      </c>
      <c r="AX91" s="207" t="s">
        <v>32</v>
      </c>
      <c r="AY91" s="426"/>
      <c r="AZ91" s="427" t="s">
        <v>32</v>
      </c>
      <c r="BA91" s="207" t="s">
        <v>32</v>
      </c>
      <c r="BB91" s="207" t="s">
        <v>32</v>
      </c>
      <c r="BC91" s="207" t="s">
        <v>32</v>
      </c>
      <c r="BD91" s="207" t="s">
        <v>32</v>
      </c>
      <c r="BE91" s="207" t="s">
        <v>32</v>
      </c>
      <c r="BF91" s="207" t="s">
        <v>32</v>
      </c>
      <c r="BG91" s="207" t="s">
        <v>32</v>
      </c>
      <c r="BH91" s="428"/>
      <c r="BI91" s="470" t="s">
        <v>32</v>
      </c>
      <c r="BJ91" s="343"/>
      <c r="BK91" s="207" t="s">
        <v>32</v>
      </c>
      <c r="BL91" s="207" t="s">
        <v>32</v>
      </c>
      <c r="BM91" s="207" t="s">
        <v>32</v>
      </c>
      <c r="BN91" s="207" t="s">
        <v>32</v>
      </c>
      <c r="BO91" s="207" t="s">
        <v>32</v>
      </c>
      <c r="BP91" s="207" t="s">
        <v>32</v>
      </c>
      <c r="BQ91" s="207" t="s">
        <v>32</v>
      </c>
      <c r="BR91" s="207" t="s">
        <v>32</v>
      </c>
      <c r="BS91" s="426"/>
      <c r="BT91" s="427" t="s">
        <v>32</v>
      </c>
      <c r="BU91" s="207" t="s">
        <v>32</v>
      </c>
      <c r="BV91" s="207" t="s">
        <v>32</v>
      </c>
      <c r="BW91" s="207" t="s">
        <v>32</v>
      </c>
      <c r="BX91" s="207" t="s">
        <v>32</v>
      </c>
      <c r="BY91" s="207" t="s">
        <v>32</v>
      </c>
      <c r="BZ91" s="207" t="s">
        <v>32</v>
      </c>
      <c r="CA91" s="207" t="s">
        <v>32</v>
      </c>
      <c r="CB91" s="428"/>
      <c r="CC91" s="470" t="s">
        <v>32</v>
      </c>
      <c r="CD91" s="343"/>
      <c r="CE91" s="428" t="s">
        <v>32</v>
      </c>
      <c r="CF91" s="428"/>
      <c r="CG91" s="428"/>
      <c r="CH91" s="428"/>
      <c r="CI91" s="207"/>
      <c r="CJ91" s="428" t="s">
        <v>32</v>
      </c>
      <c r="CK91" s="428"/>
      <c r="CL91" s="428"/>
      <c r="CM91" s="428"/>
      <c r="CN91" s="207"/>
      <c r="CO91" s="428" t="s">
        <v>32</v>
      </c>
      <c r="CP91" s="428"/>
      <c r="CQ91" s="428"/>
      <c r="CR91" s="428"/>
      <c r="CS91" s="207"/>
    </row>
    <row r="92" spans="1:131" s="17" customFormat="1" ht="15.75" customHeight="1" x14ac:dyDescent="0.25">
      <c r="A92" s="19" t="s">
        <v>47</v>
      </c>
      <c r="B92" s="343">
        <v>61</v>
      </c>
      <c r="C92" s="236">
        <f t="shared" ref="C92:J92" si="222">C32-C90</f>
        <v>-368680.32251536078</v>
      </c>
      <c r="D92" s="236">
        <f t="shared" si="222"/>
        <v>-1259849.7682066103</v>
      </c>
      <c r="E92" s="236">
        <f t="shared" si="222"/>
        <v>-2477863.9477047375</v>
      </c>
      <c r="F92" s="236">
        <f t="shared" si="222"/>
        <v>-5748771.5541446451</v>
      </c>
      <c r="G92" s="236">
        <f t="shared" si="222"/>
        <v>-2527064.2632681075</v>
      </c>
      <c r="H92" s="236">
        <f t="shared" si="222"/>
        <v>-4963933.4259235337</v>
      </c>
      <c r="I92" s="236">
        <f t="shared" si="222"/>
        <v>-2110786.512743541</v>
      </c>
      <c r="J92" s="236">
        <f t="shared" si="222"/>
        <v>-3730248.4495717054</v>
      </c>
      <c r="K92" s="241">
        <f>SUM(C92:J92)</f>
        <v>-23187198.244078241</v>
      </c>
      <c r="L92" s="238">
        <f t="shared" ref="L92:U92" si="223">L32-L90</f>
        <v>0</v>
      </c>
      <c r="M92" s="236">
        <f t="shared" si="223"/>
        <v>1093545.0540182097</v>
      </c>
      <c r="N92" s="236">
        <f t="shared" si="223"/>
        <v>0</v>
      </c>
      <c r="O92" s="236">
        <f t="shared" si="223"/>
        <v>-4371087.2723595565</v>
      </c>
      <c r="P92" s="236">
        <f t="shared" si="223"/>
        <v>0</v>
      </c>
      <c r="Q92" s="236">
        <f t="shared" si="223"/>
        <v>-3120695.3750219364</v>
      </c>
      <c r="R92" s="236">
        <f t="shared" si="223"/>
        <v>0</v>
      </c>
      <c r="S92" s="236">
        <f t="shared" si="223"/>
        <v>-2309862.7253458146</v>
      </c>
      <c r="T92" s="239">
        <f t="shared" si="223"/>
        <v>-8708100.3187090978</v>
      </c>
      <c r="U92" s="240">
        <f t="shared" si="223"/>
        <v>-31895298.562787347</v>
      </c>
      <c r="V92" s="343">
        <v>61</v>
      </c>
      <c r="W92" s="236">
        <f t="shared" ref="W92:AD92" si="224">W32-W90</f>
        <v>-17742.775221070711</v>
      </c>
      <c r="X92" s="236">
        <f t="shared" si="224"/>
        <v>248070.20513341634</v>
      </c>
      <c r="Y92" s="236">
        <f t="shared" si="224"/>
        <v>72554.289370988437</v>
      </c>
      <c r="Z92" s="236">
        <f t="shared" si="224"/>
        <v>260051.47609834676</v>
      </c>
      <c r="AA92" s="236">
        <f t="shared" si="224"/>
        <v>61318.931905316422</v>
      </c>
      <c r="AB92" s="236">
        <f t="shared" si="224"/>
        <v>326691.06386047183</v>
      </c>
      <c r="AC92" s="236">
        <f t="shared" si="224"/>
        <v>34117.467345954559</v>
      </c>
      <c r="AD92" s="236">
        <f t="shared" si="224"/>
        <v>337731.12194279768</v>
      </c>
      <c r="AE92" s="241">
        <f>SUM(W92:AD92)</f>
        <v>1322791.7804362213</v>
      </c>
      <c r="AF92" s="238">
        <f t="shared" ref="AF92:AM92" si="225">AF32-AF90</f>
        <v>0</v>
      </c>
      <c r="AG92" s="236">
        <f t="shared" si="225"/>
        <v>256534.46333248517</v>
      </c>
      <c r="AH92" s="236">
        <f t="shared" si="225"/>
        <v>0</v>
      </c>
      <c r="AI92" s="236">
        <f t="shared" si="225"/>
        <v>250105.46944942372</v>
      </c>
      <c r="AJ92" s="236">
        <f t="shared" si="225"/>
        <v>0</v>
      </c>
      <c r="AK92" s="236">
        <f t="shared" si="225"/>
        <v>229381.45917561953</v>
      </c>
      <c r="AL92" s="236">
        <f t="shared" si="225"/>
        <v>0</v>
      </c>
      <c r="AM92" s="236">
        <f t="shared" si="225"/>
        <v>53535.403432266554</v>
      </c>
      <c r="AN92" s="239">
        <f>SUM(AF92:AM92)</f>
        <v>789556.79538979498</v>
      </c>
      <c r="AO92" s="240">
        <f>AO32-AO90</f>
        <v>2112348.5758260172</v>
      </c>
      <c r="AP92" s="343">
        <v>61</v>
      </c>
      <c r="AQ92" s="236">
        <f t="shared" ref="AQ92:AX92" si="226">AQ32-AQ90</f>
        <v>-1042629.4123456776</v>
      </c>
      <c r="AR92" s="236">
        <f t="shared" si="226"/>
        <v>-1285021.0654060394</v>
      </c>
      <c r="AS92" s="236">
        <f t="shared" si="226"/>
        <v>1572499.3298101872</v>
      </c>
      <c r="AT92" s="236">
        <f t="shared" si="226"/>
        <v>1873103.4663981125</v>
      </c>
      <c r="AU92" s="236">
        <f t="shared" si="226"/>
        <v>206464.35692014918</v>
      </c>
      <c r="AV92" s="236">
        <f t="shared" si="226"/>
        <v>984348.13484146446</v>
      </c>
      <c r="AW92" s="236">
        <f t="shared" si="226"/>
        <v>-1161925.6931447424</v>
      </c>
      <c r="AX92" s="236">
        <f t="shared" si="226"/>
        <v>-4969.5873058363795</v>
      </c>
      <c r="AY92" s="241">
        <f>SUM(AQ92:AX92)</f>
        <v>1141869.5297676176</v>
      </c>
      <c r="AZ92" s="238">
        <f t="shared" ref="AZ92:BG92" si="227">AZ32-AZ90</f>
        <v>0</v>
      </c>
      <c r="BA92" s="236">
        <f t="shared" si="227"/>
        <v>10251807.765729003</v>
      </c>
      <c r="BB92" s="236">
        <f t="shared" si="227"/>
        <v>0</v>
      </c>
      <c r="BC92" s="236">
        <f t="shared" si="227"/>
        <v>5178312.7099542171</v>
      </c>
      <c r="BD92" s="236">
        <f t="shared" si="227"/>
        <v>0</v>
      </c>
      <c r="BE92" s="236">
        <f t="shared" si="227"/>
        <v>7250200.2890981436</v>
      </c>
      <c r="BF92" s="236">
        <f t="shared" si="227"/>
        <v>0</v>
      </c>
      <c r="BG92" s="236">
        <f t="shared" si="227"/>
        <v>5510270.4703388512</v>
      </c>
      <c r="BH92" s="239">
        <f>SUM(AZ92:BG92)</f>
        <v>28190591.235120215</v>
      </c>
      <c r="BI92" s="240">
        <f>BI32-BI90</f>
        <v>29332460.76488781</v>
      </c>
      <c r="BJ92" s="343">
        <v>61</v>
      </c>
      <c r="BK92" s="236">
        <f t="shared" ref="BK92:BR92" si="228">BK32-BK90</f>
        <v>-168189.7989097361</v>
      </c>
      <c r="BL92" s="236">
        <f t="shared" si="228"/>
        <v>-524130.08624454122</v>
      </c>
      <c r="BM92" s="236">
        <f t="shared" si="228"/>
        <v>-43721.020687366195</v>
      </c>
      <c r="BN92" s="236">
        <f t="shared" si="228"/>
        <v>13337.155733712949</v>
      </c>
      <c r="BO92" s="236">
        <f t="shared" si="228"/>
        <v>-107267.73583929677</v>
      </c>
      <c r="BP92" s="236">
        <f t="shared" si="228"/>
        <v>-517735.16255148966</v>
      </c>
      <c r="BQ92" s="236">
        <f t="shared" si="228"/>
        <v>-127131.34639844031</v>
      </c>
      <c r="BR92" s="236">
        <f t="shared" si="228"/>
        <v>627250.82364377845</v>
      </c>
      <c r="BS92" s="241">
        <f>SUM(BK92:BR92)</f>
        <v>-847587.17125337897</v>
      </c>
      <c r="BT92" s="238">
        <f t="shared" ref="BT92:CA92" si="229">BT32-BT90</f>
        <v>0</v>
      </c>
      <c r="BU92" s="236">
        <f t="shared" si="229"/>
        <v>-202761.49187852163</v>
      </c>
      <c r="BV92" s="236">
        <f t="shared" si="229"/>
        <v>0</v>
      </c>
      <c r="BW92" s="236">
        <f t="shared" si="229"/>
        <v>-602170.54968478344</v>
      </c>
      <c r="BX92" s="236">
        <f t="shared" si="229"/>
        <v>0</v>
      </c>
      <c r="BY92" s="236">
        <f t="shared" si="229"/>
        <v>-366695.85699012014</v>
      </c>
      <c r="BZ92" s="236">
        <f t="shared" si="229"/>
        <v>0</v>
      </c>
      <c r="CA92" s="236">
        <f t="shared" si="229"/>
        <v>-365559.68329904159</v>
      </c>
      <c r="CB92" s="239">
        <f>SUM(BT92:CA92)</f>
        <v>-1537187.5818524668</v>
      </c>
      <c r="CC92" s="240">
        <f>CC32-CC90</f>
        <v>-2384774.753105849</v>
      </c>
      <c r="CD92" s="343">
        <v>61</v>
      </c>
      <c r="CE92" s="239">
        <f t="shared" ref="CE92:CS92" si="230">CE32-CE90</f>
        <v>-4418173.0237156302</v>
      </c>
      <c r="CF92" s="239">
        <f t="shared" si="230"/>
        <v>-4478810.8051254004</v>
      </c>
      <c r="CG92" s="239">
        <f t="shared" si="230"/>
        <v>-6537178.1000550687</v>
      </c>
      <c r="CH92" s="239">
        <f t="shared" si="230"/>
        <v>-6135962.176231727</v>
      </c>
      <c r="CI92" s="236">
        <f t="shared" si="230"/>
        <v>-21570124.105127752</v>
      </c>
      <c r="CJ92" s="239">
        <f t="shared" si="230"/>
        <v>11399125.791201174</v>
      </c>
      <c r="CK92" s="239">
        <f t="shared" si="230"/>
        <v>455160.35735930502</v>
      </c>
      <c r="CL92" s="239">
        <f t="shared" si="230"/>
        <v>3992190.5162617192</v>
      </c>
      <c r="CM92" s="239">
        <f t="shared" si="230"/>
        <v>2888383.4651262611</v>
      </c>
      <c r="CN92" s="236">
        <f t="shared" si="230"/>
        <v>-16728202.157477245</v>
      </c>
      <c r="CO92" s="239">
        <f t="shared" si="230"/>
        <v>6980952.7674855441</v>
      </c>
      <c r="CP92" s="239">
        <f t="shared" si="230"/>
        <v>-4023650.4477661252</v>
      </c>
      <c r="CQ92" s="239">
        <f t="shared" si="230"/>
        <v>-2544987.5837933123</v>
      </c>
      <c r="CR92" s="239">
        <f t="shared" si="230"/>
        <v>-3247578.7111054957</v>
      </c>
      <c r="CS92" s="236">
        <f t="shared" si="230"/>
        <v>-2835263.9751793146</v>
      </c>
      <c r="CT92" s="361"/>
      <c r="CU92" s="361"/>
      <c r="CV92" s="361"/>
      <c r="CW92" s="361"/>
      <c r="CX92" s="361"/>
      <c r="CY92" s="361"/>
      <c r="CZ92" s="361"/>
      <c r="DA92" s="361"/>
      <c r="DB92" s="361"/>
      <c r="DC92" s="361"/>
      <c r="DD92" s="361"/>
      <c r="DE92" s="361"/>
      <c r="DF92" s="361"/>
      <c r="DG92" s="361"/>
      <c r="DH92" s="361"/>
      <c r="DI92" s="361"/>
      <c r="DJ92" s="361"/>
      <c r="DK92" s="361"/>
      <c r="DL92" s="361"/>
      <c r="DM92" s="361"/>
      <c r="DN92" s="361"/>
      <c r="DO92" s="361"/>
      <c r="DP92" s="361"/>
      <c r="DQ92" s="361"/>
      <c r="DR92" s="361"/>
      <c r="DS92" s="361"/>
      <c r="DT92" s="361"/>
      <c r="DU92" s="361"/>
      <c r="DV92" s="361"/>
      <c r="DW92" s="361"/>
      <c r="DX92" s="361"/>
      <c r="DY92" s="361"/>
      <c r="DZ92" s="361"/>
      <c r="EA92" s="361"/>
    </row>
    <row r="93" spans="1:131" ht="15.75" customHeight="1" x14ac:dyDescent="0.25">
      <c r="B93" s="343"/>
      <c r="C93" s="349" t="s">
        <v>35</v>
      </c>
      <c r="D93" s="349" t="s">
        <v>35</v>
      </c>
      <c r="E93" s="349" t="s">
        <v>35</v>
      </c>
      <c r="F93" s="349" t="s">
        <v>35</v>
      </c>
      <c r="G93" s="349" t="s">
        <v>35</v>
      </c>
      <c r="H93" s="349" t="s">
        <v>35</v>
      </c>
      <c r="I93" s="349" t="s">
        <v>35</v>
      </c>
      <c r="J93" s="349" t="s">
        <v>35</v>
      </c>
      <c r="K93" s="432"/>
      <c r="L93" s="433" t="s">
        <v>35</v>
      </c>
      <c r="M93" s="349" t="s">
        <v>35</v>
      </c>
      <c r="N93" s="349" t="s">
        <v>35</v>
      </c>
      <c r="O93" s="349" t="s">
        <v>35</v>
      </c>
      <c r="P93" s="349" t="s">
        <v>35</v>
      </c>
      <c r="Q93" s="349" t="s">
        <v>35</v>
      </c>
      <c r="R93" s="349" t="s">
        <v>35</v>
      </c>
      <c r="S93" s="349" t="s">
        <v>35</v>
      </c>
      <c r="T93" s="434" t="s">
        <v>35</v>
      </c>
      <c r="U93" s="433" t="s">
        <v>35</v>
      </c>
      <c r="V93" s="343"/>
      <c r="W93" s="349" t="s">
        <v>35</v>
      </c>
      <c r="X93" s="349" t="s">
        <v>35</v>
      </c>
      <c r="Y93" s="349" t="s">
        <v>35</v>
      </c>
      <c r="Z93" s="349" t="s">
        <v>35</v>
      </c>
      <c r="AA93" s="349" t="s">
        <v>35</v>
      </c>
      <c r="AB93" s="349" t="s">
        <v>35</v>
      </c>
      <c r="AC93" s="349" t="s">
        <v>35</v>
      </c>
      <c r="AD93" s="349" t="s">
        <v>35</v>
      </c>
      <c r="AE93" s="432"/>
      <c r="AF93" s="433" t="s">
        <v>35</v>
      </c>
      <c r="AG93" s="349" t="s">
        <v>35</v>
      </c>
      <c r="AH93" s="349" t="s">
        <v>35</v>
      </c>
      <c r="AI93" s="349" t="s">
        <v>35</v>
      </c>
      <c r="AJ93" s="349" t="s">
        <v>35</v>
      </c>
      <c r="AK93" s="349" t="s">
        <v>35</v>
      </c>
      <c r="AL93" s="349" t="s">
        <v>35</v>
      </c>
      <c r="AM93" s="349" t="s">
        <v>35</v>
      </c>
      <c r="AN93" s="434" t="s">
        <v>35</v>
      </c>
      <c r="AO93" s="433" t="s">
        <v>35</v>
      </c>
      <c r="AP93" s="343"/>
      <c r="AQ93" s="349" t="s">
        <v>35</v>
      </c>
      <c r="AR93" s="349" t="s">
        <v>35</v>
      </c>
      <c r="AS93" s="349" t="s">
        <v>35</v>
      </c>
      <c r="AT93" s="349" t="s">
        <v>35</v>
      </c>
      <c r="AU93" s="349" t="s">
        <v>35</v>
      </c>
      <c r="AV93" s="349" t="s">
        <v>35</v>
      </c>
      <c r="AW93" s="349" t="s">
        <v>35</v>
      </c>
      <c r="AX93" s="349" t="s">
        <v>35</v>
      </c>
      <c r="AY93" s="432"/>
      <c r="AZ93" s="433" t="s">
        <v>35</v>
      </c>
      <c r="BA93" s="349" t="s">
        <v>35</v>
      </c>
      <c r="BB93" s="349" t="s">
        <v>35</v>
      </c>
      <c r="BC93" s="349" t="s">
        <v>35</v>
      </c>
      <c r="BD93" s="349" t="s">
        <v>35</v>
      </c>
      <c r="BE93" s="349" t="s">
        <v>35</v>
      </c>
      <c r="BF93" s="349" t="s">
        <v>35</v>
      </c>
      <c r="BG93" s="349" t="s">
        <v>35</v>
      </c>
      <c r="BH93" s="434" t="s">
        <v>35</v>
      </c>
      <c r="BI93" s="433" t="s">
        <v>35</v>
      </c>
      <c r="BJ93" s="343"/>
      <c r="BK93" s="349" t="s">
        <v>35</v>
      </c>
      <c r="BL93" s="349" t="s">
        <v>35</v>
      </c>
      <c r="BM93" s="349" t="s">
        <v>35</v>
      </c>
      <c r="BN93" s="349" t="s">
        <v>35</v>
      </c>
      <c r="BO93" s="349" t="s">
        <v>35</v>
      </c>
      <c r="BP93" s="349" t="s">
        <v>35</v>
      </c>
      <c r="BQ93" s="349" t="s">
        <v>35</v>
      </c>
      <c r="BR93" s="349" t="s">
        <v>35</v>
      </c>
      <c r="BS93" s="432"/>
      <c r="BT93" s="433" t="s">
        <v>35</v>
      </c>
      <c r="BU93" s="349" t="s">
        <v>35</v>
      </c>
      <c r="BV93" s="349" t="s">
        <v>35</v>
      </c>
      <c r="BW93" s="349" t="s">
        <v>35</v>
      </c>
      <c r="BX93" s="349" t="s">
        <v>35</v>
      </c>
      <c r="BY93" s="349" t="s">
        <v>35</v>
      </c>
      <c r="BZ93" s="349" t="s">
        <v>35</v>
      </c>
      <c r="CA93" s="349" t="s">
        <v>35</v>
      </c>
      <c r="CB93" s="434" t="s">
        <v>35</v>
      </c>
      <c r="CC93" s="433" t="s">
        <v>35</v>
      </c>
      <c r="CD93" s="343"/>
      <c r="CE93" s="434" t="s">
        <v>35</v>
      </c>
      <c r="CF93" s="434"/>
      <c r="CG93" s="434"/>
      <c r="CH93" s="434"/>
      <c r="CI93" s="349"/>
      <c r="CJ93" s="434" t="s">
        <v>35</v>
      </c>
      <c r="CK93" s="434"/>
      <c r="CL93" s="434"/>
      <c r="CM93" s="434"/>
      <c r="CN93" s="349"/>
      <c r="CO93" s="434" t="s">
        <v>35</v>
      </c>
      <c r="CP93" s="434"/>
      <c r="CQ93" s="434"/>
      <c r="CR93" s="434"/>
      <c r="CS93" s="349"/>
    </row>
    <row r="94" spans="1:131" ht="15.75" customHeight="1" x14ac:dyDescent="0.25">
      <c r="A94" s="148" t="s">
        <v>48</v>
      </c>
      <c r="B94" s="343">
        <v>62</v>
      </c>
      <c r="C94" s="435">
        <f t="shared" ref="C94:U94" si="231">IF((C32-C28)=0,"",C92/(C32-C28))</f>
        <v>-0.32036328277757953</v>
      </c>
      <c r="D94" s="435">
        <f t="shared" si="231"/>
        <v>-0.57740475660450807</v>
      </c>
      <c r="E94" s="435">
        <f t="shared" si="231"/>
        <v>-2.1168627841305767</v>
      </c>
      <c r="F94" s="435">
        <f t="shared" si="231"/>
        <v>-2.5394058785407769</v>
      </c>
      <c r="G94" s="435">
        <f t="shared" si="231"/>
        <v>-2.1358154629918755</v>
      </c>
      <c r="H94" s="435">
        <f t="shared" si="231"/>
        <v>-2.0987118450255156</v>
      </c>
      <c r="I94" s="435">
        <f t="shared" si="231"/>
        <v>-1.7194027224860671</v>
      </c>
      <c r="J94" s="435">
        <f t="shared" si="231"/>
        <v>-1.5627989673357252</v>
      </c>
      <c r="K94" s="436">
        <f t="shared" si="231"/>
        <v>-1.6645461557998624</v>
      </c>
      <c r="L94" s="437" t="str">
        <f t="shared" si="231"/>
        <v/>
      </c>
      <c r="M94" s="435">
        <f t="shared" si="231"/>
        <v>0.18720951863325458</v>
      </c>
      <c r="N94" s="435" t="str">
        <f t="shared" si="231"/>
        <v/>
      </c>
      <c r="O94" s="435">
        <f t="shared" si="231"/>
        <v>-0.81260966209955032</v>
      </c>
      <c r="P94" s="435" t="str">
        <f t="shared" si="231"/>
        <v/>
      </c>
      <c r="Q94" s="435">
        <f t="shared" si="231"/>
        <v>-0.51301847954892899</v>
      </c>
      <c r="R94" s="435" t="str">
        <f t="shared" si="231"/>
        <v/>
      </c>
      <c r="S94" s="435">
        <f t="shared" si="231"/>
        <v>-0.37207487722069654</v>
      </c>
      <c r="T94" s="438">
        <f t="shared" si="231"/>
        <v>-0.37037731391980477</v>
      </c>
      <c r="U94" s="437">
        <f t="shared" si="231"/>
        <v>-0.85187084258855938</v>
      </c>
      <c r="V94" s="343">
        <v>62</v>
      </c>
      <c r="W94" s="435">
        <f t="shared" ref="W94:AO94" si="232">IF((W32-W28)=0,"",W92/(W32-W28))</f>
        <v>-9.968674503495914E-2</v>
      </c>
      <c r="X94" s="435">
        <f t="shared" si="232"/>
        <v>0.24945909859995871</v>
      </c>
      <c r="Y94" s="435">
        <f t="shared" si="232"/>
        <v>0.39229143627862412</v>
      </c>
      <c r="Z94" s="435">
        <f t="shared" si="232"/>
        <v>0.27435262231968538</v>
      </c>
      <c r="AA94" s="435">
        <f t="shared" si="232"/>
        <v>0.36174068914640112</v>
      </c>
      <c r="AB94" s="435">
        <f t="shared" si="232"/>
        <v>0.33790113332002591</v>
      </c>
      <c r="AC94" s="435">
        <f t="shared" si="232"/>
        <v>0.18937127204361456</v>
      </c>
      <c r="AD94" s="435">
        <f t="shared" si="232"/>
        <v>0.34173964943049151</v>
      </c>
      <c r="AE94" s="436">
        <f t="shared" si="232"/>
        <v>0.28693915447707447</v>
      </c>
      <c r="AF94" s="437" t="str">
        <f t="shared" si="232"/>
        <v/>
      </c>
      <c r="AG94" s="435">
        <f t="shared" si="232"/>
        <v>0.13280691880695311</v>
      </c>
      <c r="AH94" s="435" t="str">
        <f t="shared" si="232"/>
        <v/>
      </c>
      <c r="AI94" s="435">
        <f t="shared" si="232"/>
        <v>0.16229804929846897</v>
      </c>
      <c r="AJ94" s="435" t="str">
        <f t="shared" si="232"/>
        <v/>
      </c>
      <c r="AK94" s="435">
        <f t="shared" si="232"/>
        <v>0.13866177542614622</v>
      </c>
      <c r="AL94" s="435" t="str">
        <f t="shared" si="232"/>
        <v/>
      </c>
      <c r="AM94" s="435">
        <f t="shared" si="232"/>
        <v>3.1685916979321757E-2</v>
      </c>
      <c r="AN94" s="438">
        <f t="shared" si="232"/>
        <v>0.11583063128474679</v>
      </c>
      <c r="AO94" s="437">
        <f t="shared" si="232"/>
        <v>0.18486425603462547</v>
      </c>
      <c r="AP94" s="343">
        <v>62</v>
      </c>
      <c r="AQ94" s="435">
        <f t="shared" ref="AQ94:BI94" si="233">IF((AQ32-AQ28)=0,"",AQ92/(AQ32-AQ28))</f>
        <v>-5.4587594592258509E-2</v>
      </c>
      <c r="AR94" s="435">
        <f t="shared" si="233"/>
        <v>-2.9795060233750875E-2</v>
      </c>
      <c r="AS94" s="435">
        <f t="shared" si="233"/>
        <v>7.7008137669602919E-2</v>
      </c>
      <c r="AT94" s="435">
        <f t="shared" si="233"/>
        <v>4.1110063769995292E-2</v>
      </c>
      <c r="AU94" s="435">
        <f t="shared" si="233"/>
        <v>9.5769591122977019E-3</v>
      </c>
      <c r="AV94" s="435">
        <f t="shared" si="233"/>
        <v>2.050485495436417E-2</v>
      </c>
      <c r="AW94" s="435">
        <f t="shared" si="233"/>
        <v>-4.9704534110268934E-2</v>
      </c>
      <c r="AX94" s="435">
        <f t="shared" si="233"/>
        <v>-9.9126635676558008E-5</v>
      </c>
      <c r="AY94" s="436">
        <f t="shared" si="233"/>
        <v>4.2090945557003339E-3</v>
      </c>
      <c r="AZ94" s="437" t="str">
        <f t="shared" si="233"/>
        <v/>
      </c>
      <c r="BA94" s="435">
        <f t="shared" si="233"/>
        <v>0.22679463055196791</v>
      </c>
      <c r="BB94" s="435" t="str">
        <f t="shared" si="233"/>
        <v/>
      </c>
      <c r="BC94" s="435">
        <f t="shared" si="233"/>
        <v>0.13569024777186453</v>
      </c>
      <c r="BD94" s="435" t="str">
        <f t="shared" si="233"/>
        <v/>
      </c>
      <c r="BE94" s="435">
        <f t="shared" si="233"/>
        <v>0.16577651433373869</v>
      </c>
      <c r="BF94" s="435" t="str">
        <f t="shared" si="233"/>
        <v/>
      </c>
      <c r="BG94" s="435">
        <f t="shared" si="233"/>
        <v>0.12399790603819781</v>
      </c>
      <c r="BH94" s="438">
        <f t="shared" si="233"/>
        <v>0.16433926012937405</v>
      </c>
      <c r="BI94" s="437">
        <f t="shared" si="233"/>
        <v>6.6239358292005515E-2</v>
      </c>
      <c r="BJ94" s="343">
        <v>62</v>
      </c>
      <c r="BK94" s="435">
        <f t="shared" ref="BK94:CC94" si="234">IF((BK32-BK28)=0,"",BK92/(BK32-BK28))</f>
        <v>-0.39756118606535629</v>
      </c>
      <c r="BL94" s="435">
        <f t="shared" si="234"/>
        <v>-0.11545640718481039</v>
      </c>
      <c r="BM94" s="435">
        <f t="shared" si="234"/>
        <v>-9.608888651578959E-2</v>
      </c>
      <c r="BN94" s="435">
        <f t="shared" si="234"/>
        <v>2.9751823061110799E-3</v>
      </c>
      <c r="BO94" s="435">
        <f t="shared" si="234"/>
        <v>-0.26257812753933246</v>
      </c>
      <c r="BP94" s="435">
        <f t="shared" si="234"/>
        <v>-0.11910950094040967</v>
      </c>
      <c r="BQ94" s="435">
        <f t="shared" si="234"/>
        <v>-0.20052181806705141</v>
      </c>
      <c r="BR94" s="435">
        <f t="shared" si="234"/>
        <v>0.11071176498281256</v>
      </c>
      <c r="BS94" s="436">
        <f t="shared" si="234"/>
        <v>-4.0447282631727165E-2</v>
      </c>
      <c r="BT94" s="437" t="str">
        <f t="shared" si="234"/>
        <v/>
      </c>
      <c r="BU94" s="435">
        <f t="shared" si="234"/>
        <v>-0.12976262337606567</v>
      </c>
      <c r="BV94" s="435" t="str">
        <f t="shared" si="234"/>
        <v/>
      </c>
      <c r="BW94" s="435">
        <f t="shared" si="234"/>
        <v>-0.44372152935800435</v>
      </c>
      <c r="BX94" s="435" t="str">
        <f t="shared" si="234"/>
        <v/>
      </c>
      <c r="BY94" s="435">
        <f t="shared" si="234"/>
        <v>-0.25130791044736994</v>
      </c>
      <c r="BZ94" s="435" t="str">
        <f t="shared" si="234"/>
        <v/>
      </c>
      <c r="CA94" s="435">
        <f t="shared" si="234"/>
        <v>-0.21143979975180299</v>
      </c>
      <c r="CB94" s="438">
        <f t="shared" si="234"/>
        <v>-0.25168008559330213</v>
      </c>
      <c r="CC94" s="437">
        <f t="shared" si="234"/>
        <v>-8.8119184961623701E-2</v>
      </c>
      <c r="CD94" s="343">
        <v>62</v>
      </c>
      <c r="CE94" s="438">
        <f t="shared" ref="CE94:CS94" si="235">IF((CE32-CE28)=0,"",CE92/(CE32-CE28))</f>
        <v>-6.1623167674219964E-2</v>
      </c>
      <c r="CF94" s="438">
        <f t="shared" si="235"/>
        <v>-5.9331395022692822E-2</v>
      </c>
      <c r="CG94" s="438">
        <f t="shared" si="235"/>
        <v>-8.2744857165325716E-2</v>
      </c>
      <c r="CH94" s="438">
        <f t="shared" si="235"/>
        <v>-7.2535138047002873E-2</v>
      </c>
      <c r="CI94" s="471">
        <f t="shared" si="235"/>
        <v>-6.9406037591890221E-2</v>
      </c>
      <c r="CJ94" s="438">
        <f t="shared" si="235"/>
        <v>0.20901052199932491</v>
      </c>
      <c r="CK94" s="438">
        <f t="shared" si="235"/>
        <v>9.8010542862972394E-3</v>
      </c>
      <c r="CL94" s="438">
        <f t="shared" si="235"/>
        <v>7.542226391988413E-2</v>
      </c>
      <c r="CM94" s="438">
        <f t="shared" si="235"/>
        <v>5.3424329434898811E-2</v>
      </c>
      <c r="CN94" s="471" t="str">
        <f t="shared" si="235"/>
        <v/>
      </c>
      <c r="CO94" s="438">
        <f t="shared" si="235"/>
        <v>5.5301180530267717E-2</v>
      </c>
      <c r="CP94" s="438">
        <f t="shared" si="235"/>
        <v>-3.3000222372759028E-2</v>
      </c>
      <c r="CQ94" s="438">
        <f t="shared" si="235"/>
        <v>-1.9289673244611984E-2</v>
      </c>
      <c r="CR94" s="438">
        <f t="shared" si="235"/>
        <v>-2.3421518232686445E-2</v>
      </c>
      <c r="CS94" s="471">
        <f t="shared" si="235"/>
        <v>-5.4655030267669186E-3</v>
      </c>
    </row>
    <row r="95" spans="1:131" s="360" customFormat="1" ht="15.75" customHeight="1" x14ac:dyDescent="0.25">
      <c r="A95" s="148" t="s">
        <v>1446</v>
      </c>
      <c r="B95" s="343">
        <v>63</v>
      </c>
      <c r="C95" s="440">
        <f>IF((C32-C28-C25)=0,"",(C73+C66-C64)/(C32-C28-C25))</f>
        <v>1.2314824455813391</v>
      </c>
      <c r="D95" s="440">
        <f t="shared" ref="D95:U95" si="236">IF((D32-D28-D25)=0,"",(D73+D66-D64)/(D32-D28-D25))</f>
        <v>1.4885239194082676</v>
      </c>
      <c r="E95" s="440">
        <f t="shared" si="236"/>
        <v>3.0166008721416704</v>
      </c>
      <c r="F95" s="440">
        <f t="shared" si="236"/>
        <v>3.4391439665518706</v>
      </c>
      <c r="G95" s="440">
        <f t="shared" si="236"/>
        <v>3.0370026965633183</v>
      </c>
      <c r="H95" s="440">
        <f t="shared" si="236"/>
        <v>2.9998990785969584</v>
      </c>
      <c r="I95" s="440">
        <f t="shared" si="236"/>
        <v>2.6184712081979402</v>
      </c>
      <c r="J95" s="440">
        <f t="shared" si="236"/>
        <v>2.4618674530475984</v>
      </c>
      <c r="K95" s="436">
        <f t="shared" si="236"/>
        <v>2.5672025410472981</v>
      </c>
      <c r="L95" s="441" t="str">
        <f t="shared" si="236"/>
        <v/>
      </c>
      <c r="M95" s="440">
        <f t="shared" si="236"/>
        <v>0.73555683726386722</v>
      </c>
      <c r="N95" s="440" t="str">
        <f t="shared" si="236"/>
        <v/>
      </c>
      <c r="O95" s="440">
        <f t="shared" si="236"/>
        <v>1.7278998743416409</v>
      </c>
      <c r="P95" s="440" t="str">
        <f t="shared" si="236"/>
        <v/>
      </c>
      <c r="Q95" s="440">
        <f t="shared" si="236"/>
        <v>1.4324724155238218</v>
      </c>
      <c r="R95" s="440" t="str">
        <f t="shared" si="236"/>
        <v/>
      </c>
      <c r="S95" s="440">
        <f t="shared" si="236"/>
        <v>1.2913225425209363</v>
      </c>
      <c r="T95" s="438">
        <f t="shared" si="236"/>
        <v>1.2896471389069559</v>
      </c>
      <c r="U95" s="442">
        <f t="shared" si="236"/>
        <v>1.7649596628530342</v>
      </c>
      <c r="V95" s="343">
        <v>63</v>
      </c>
      <c r="W95" s="440">
        <f>IF((W32-W28-W25)=0,"",(W73+W66-W64)/(W32-W28-W25))</f>
        <v>1.0108059078387186</v>
      </c>
      <c r="X95" s="440">
        <f t="shared" ref="X95:AO95" si="237">IF((X32-X28-X25)=0,"",(X73+X66-X64)/(X32-X28-X25))</f>
        <v>0.66166006420380086</v>
      </c>
      <c r="Y95" s="440">
        <f t="shared" si="237"/>
        <v>0.5074466517324695</v>
      </c>
      <c r="Z95" s="440">
        <f t="shared" si="237"/>
        <v>0.62538546569140829</v>
      </c>
      <c r="AA95" s="440">
        <f t="shared" si="237"/>
        <v>0.53944654442504181</v>
      </c>
      <c r="AB95" s="440">
        <f t="shared" si="237"/>
        <v>0.5632861002514169</v>
      </c>
      <c r="AC95" s="440">
        <f t="shared" si="237"/>
        <v>0.70969721366825844</v>
      </c>
      <c r="AD95" s="440">
        <f t="shared" si="237"/>
        <v>0.55732883628138163</v>
      </c>
      <c r="AE95" s="436">
        <f t="shared" si="237"/>
        <v>0.61588085958704464</v>
      </c>
      <c r="AF95" s="441" t="str">
        <f t="shared" si="237"/>
        <v/>
      </c>
      <c r="AG95" s="440">
        <f t="shared" si="237"/>
        <v>0.79493714674683458</v>
      </c>
      <c r="AH95" s="440" t="str">
        <f t="shared" si="237"/>
        <v/>
      </c>
      <c r="AI95" s="440">
        <f t="shared" si="237"/>
        <v>0.75766465214161438</v>
      </c>
      <c r="AJ95" s="440" t="str">
        <f t="shared" si="237"/>
        <v/>
      </c>
      <c r="AK95" s="440">
        <f t="shared" si="237"/>
        <v>0.78236266850976777</v>
      </c>
      <c r="AL95" s="440" t="str">
        <f t="shared" si="237"/>
        <v/>
      </c>
      <c r="AM95" s="440">
        <f t="shared" si="237"/>
        <v>0.89016360905614433</v>
      </c>
      <c r="AN95" s="438">
        <f t="shared" si="237"/>
        <v>0.80706247771763817</v>
      </c>
      <c r="AO95" s="442">
        <f t="shared" si="237"/>
        <v>0.72993037559396212</v>
      </c>
      <c r="AP95" s="343">
        <v>63</v>
      </c>
      <c r="AQ95" s="440">
        <f>IF((AQ32-AQ28-AQ25)=0,"",(AQ73+AQ66-AQ64)/(AQ32-AQ28-AQ25))</f>
        <v>0.96570675739601797</v>
      </c>
      <c r="AR95" s="440">
        <f t="shared" ref="AR95:BI95" si="238">IF((AR32-AR28-AR25)=0,"",(AR73+AR66-AR64)/(AR32-AR28-AR25))</f>
        <v>0.94091422303751038</v>
      </c>
      <c r="AS95" s="440">
        <f t="shared" si="238"/>
        <v>0.82272995034149066</v>
      </c>
      <c r="AT95" s="440">
        <f t="shared" si="238"/>
        <v>0.8586280242410983</v>
      </c>
      <c r="AU95" s="440">
        <f t="shared" si="238"/>
        <v>0.89161027445914531</v>
      </c>
      <c r="AV95" s="440">
        <f t="shared" si="238"/>
        <v>0.88068237861707876</v>
      </c>
      <c r="AW95" s="440">
        <f t="shared" si="238"/>
        <v>0.94877301982214202</v>
      </c>
      <c r="AX95" s="440">
        <f t="shared" si="238"/>
        <v>0.89916761234754961</v>
      </c>
      <c r="AY95" s="436">
        <f t="shared" si="238"/>
        <v>0.89832978439430222</v>
      </c>
      <c r="AZ95" s="441" t="str">
        <f t="shared" si="238"/>
        <v/>
      </c>
      <c r="BA95" s="440">
        <f t="shared" si="238"/>
        <v>0.69680693865951737</v>
      </c>
      <c r="BB95" s="440" t="str">
        <f t="shared" si="238"/>
        <v/>
      </c>
      <c r="BC95" s="440">
        <f t="shared" si="238"/>
        <v>0.78191184534443003</v>
      </c>
      <c r="BD95" s="440" t="str">
        <f t="shared" si="238"/>
        <v/>
      </c>
      <c r="BE95" s="440">
        <f t="shared" si="238"/>
        <v>0.75324716171716732</v>
      </c>
      <c r="BF95" s="440" t="str">
        <f t="shared" si="238"/>
        <v/>
      </c>
      <c r="BG95" s="440">
        <f t="shared" si="238"/>
        <v>0.79427951526336071</v>
      </c>
      <c r="BH95" s="438">
        <f t="shared" si="238"/>
        <v>0.75538117189556886</v>
      </c>
      <c r="BI95" s="442">
        <f t="shared" si="238"/>
        <v>0.84295520770371812</v>
      </c>
      <c r="BJ95" s="343">
        <v>63</v>
      </c>
      <c r="BK95" s="440">
        <f>IF((BK32-BK28-BK25)=0,"",(BK73+BK66-BK64)/(BK32-BK28-BK25))</f>
        <v>1.4130203306188343</v>
      </c>
      <c r="BL95" s="440">
        <f t="shared" ref="BL95:CS95" si="239">IF((BL32-BL28-BL25)=0,"",(BL73+BL66-BL64)/(BL32-BL28-BL25))</f>
        <v>1.1098539998195673</v>
      </c>
      <c r="BM95" s="440">
        <f t="shared" si="239"/>
        <v>1.0780480141737643</v>
      </c>
      <c r="BN95" s="440">
        <f t="shared" si="239"/>
        <v>0.97155284115001506</v>
      </c>
      <c r="BO95" s="440">
        <f t="shared" si="239"/>
        <v>1.2611273559856633</v>
      </c>
      <c r="BP95" s="440">
        <f t="shared" si="239"/>
        <v>1.1065953414007197</v>
      </c>
      <c r="BQ95" s="440">
        <f t="shared" si="239"/>
        <v>1.4694448451658144</v>
      </c>
      <c r="BR95" s="440">
        <f t="shared" si="239"/>
        <v>1.0623269954655989</v>
      </c>
      <c r="BS95" s="436">
        <f t="shared" si="239"/>
        <v>1.0850098648522828</v>
      </c>
      <c r="BT95" s="441" t="str">
        <f t="shared" si="239"/>
        <v/>
      </c>
      <c r="BU95" s="440">
        <f t="shared" si="239"/>
        <v>1.0499251923256829</v>
      </c>
      <c r="BV95" s="440" t="str">
        <f t="shared" si="239"/>
        <v/>
      </c>
      <c r="BW95" s="440">
        <f t="shared" si="239"/>
        <v>1.3553854326259918</v>
      </c>
      <c r="BX95" s="440" t="str">
        <f t="shared" si="239"/>
        <v/>
      </c>
      <c r="BY95" s="440">
        <f t="shared" si="239"/>
        <v>1.1631856665345579</v>
      </c>
      <c r="BZ95" s="440" t="str">
        <f t="shared" si="239"/>
        <v/>
      </c>
      <c r="CA95" s="440">
        <f t="shared" si="239"/>
        <v>1.1187612939527503</v>
      </c>
      <c r="CB95" s="438">
        <f t="shared" si="239"/>
        <v>1.1643401196595478</v>
      </c>
      <c r="CC95" s="442">
        <f t="shared" si="239"/>
        <v>1.1047464601903247</v>
      </c>
      <c r="CD95" s="343">
        <v>63</v>
      </c>
      <c r="CE95" s="438">
        <f t="shared" ref="CE95:CI95" si="240">IF((CE32-CE28-CE25)=0,"",(CE73+CE66-CE64)/(CE32-CE28-CE25))</f>
        <v>0.97787202699941222</v>
      </c>
      <c r="CF95" s="438">
        <f t="shared" si="240"/>
        <v>0.96392681964606419</v>
      </c>
      <c r="CG95" s="438">
        <f t="shared" si="240"/>
        <v>0.98861799937239025</v>
      </c>
      <c r="CH95" s="438">
        <f t="shared" si="240"/>
        <v>0.99075075806949531</v>
      </c>
      <c r="CI95" s="439">
        <f t="shared" si="240"/>
        <v>0.98068700220005944</v>
      </c>
      <c r="CJ95" s="438">
        <f t="shared" ref="CJ95:CN95" si="241">IF((CJ32-CJ28-CJ25)=0,"",(CJ73+CJ66-CJ64)/(CJ32-CJ28-CJ25))</f>
        <v>0.7145497815781866</v>
      </c>
      <c r="CK95" s="438">
        <f t="shared" si="241"/>
        <v>0.90743806065210031</v>
      </c>
      <c r="CL95" s="438">
        <f t="shared" si="241"/>
        <v>0.84351639763203989</v>
      </c>
      <c r="CM95" s="438">
        <f t="shared" si="241"/>
        <v>0.86472577939037898</v>
      </c>
      <c r="CN95" s="439" t="str">
        <f t="shared" si="241"/>
        <v/>
      </c>
      <c r="CO95" s="438">
        <f t="shared" si="239"/>
        <v>0.86379494680324465</v>
      </c>
      <c r="CP95" s="438">
        <f t="shared" si="239"/>
        <v>0.94235040429704053</v>
      </c>
      <c r="CQ95" s="438">
        <f t="shared" si="239"/>
        <v>0.93025398046876118</v>
      </c>
      <c r="CR95" s="438">
        <f t="shared" si="239"/>
        <v>0.94108010204495063</v>
      </c>
      <c r="CS95" s="439">
        <f t="shared" si="239"/>
        <v>0.91977293669230276</v>
      </c>
    </row>
    <row r="96" spans="1:131" s="360" customFormat="1" ht="15.75" customHeight="1" x14ac:dyDescent="0.25">
      <c r="A96" s="148" t="s">
        <v>1529</v>
      </c>
      <c r="B96" s="343">
        <v>64</v>
      </c>
      <c r="C96" s="440">
        <f>IF((C32-C28)=0,"",(C73)/(C32-C28))</f>
        <v>3.0901694050124533E-2</v>
      </c>
      <c r="D96" s="440">
        <f t="shared" ref="D96:U96" si="242">IF((D32-D28)=0,"",(D73)/(D32-D28))</f>
        <v>3.0901694050124537E-2</v>
      </c>
      <c r="E96" s="440">
        <f t="shared" si="242"/>
        <v>3.3452807766538292E-2</v>
      </c>
      <c r="F96" s="440">
        <f t="shared" si="242"/>
        <v>3.3452807766538299E-2</v>
      </c>
      <c r="G96" s="440">
        <f t="shared" si="242"/>
        <v>3.4899848854720555E-2</v>
      </c>
      <c r="H96" s="440">
        <f t="shared" si="242"/>
        <v>3.4899848854720555E-2</v>
      </c>
      <c r="I96" s="440">
        <f t="shared" si="242"/>
        <v>3.3520489019398178E-2</v>
      </c>
      <c r="J96" s="440">
        <f t="shared" si="242"/>
        <v>3.3520489019398185E-2</v>
      </c>
      <c r="K96" s="436">
        <f t="shared" si="242"/>
        <v>3.3228626377227462E-2</v>
      </c>
      <c r="L96" s="441" t="str">
        <f t="shared" si="242"/>
        <v/>
      </c>
      <c r="M96" s="440">
        <f t="shared" si="242"/>
        <v>2.5799137550752152E-2</v>
      </c>
      <c r="N96" s="440" t="str">
        <f t="shared" si="242"/>
        <v/>
      </c>
      <c r="O96" s="440">
        <f t="shared" si="242"/>
        <v>2.7328732395431456E-2</v>
      </c>
      <c r="P96" s="440" t="str">
        <f t="shared" si="242"/>
        <v/>
      </c>
      <c r="Q96" s="440">
        <f t="shared" si="242"/>
        <v>2.7576566935389932E-2</v>
      </c>
      <c r="R96" s="440" t="str">
        <f t="shared" si="242"/>
        <v/>
      </c>
      <c r="S96" s="440">
        <f t="shared" si="242"/>
        <v>2.6013753197838468E-2</v>
      </c>
      <c r="T96" s="438">
        <f t="shared" si="242"/>
        <v>2.6665621069423801E-2</v>
      </c>
      <c r="U96" s="442">
        <f t="shared" si="242"/>
        <v>2.9107377107790093E-2</v>
      </c>
      <c r="V96" s="343">
        <v>64</v>
      </c>
      <c r="W96" s="440">
        <f t="shared" ref="W96:AO96" si="243">IF((W32-W28)=0,"",(W73)/(W32-W28))</f>
        <v>3.0901694050124544E-2</v>
      </c>
      <c r="X96" s="440">
        <f t="shared" si="243"/>
        <v>3.0901694050124537E-2</v>
      </c>
      <c r="Y96" s="440">
        <f t="shared" si="243"/>
        <v>3.3452807766538299E-2</v>
      </c>
      <c r="Z96" s="440">
        <f t="shared" si="243"/>
        <v>3.3452807766538292E-2</v>
      </c>
      <c r="AA96" s="440">
        <f t="shared" si="243"/>
        <v>3.4899848854720555E-2</v>
      </c>
      <c r="AB96" s="440">
        <f t="shared" si="243"/>
        <v>3.4899848854720562E-2</v>
      </c>
      <c r="AC96" s="440">
        <f t="shared" si="243"/>
        <v>3.3520489019398178E-2</v>
      </c>
      <c r="AD96" s="440">
        <f t="shared" si="243"/>
        <v>3.3520489019398185E-2</v>
      </c>
      <c r="AE96" s="436">
        <f t="shared" si="243"/>
        <v>3.3177848103492023E-2</v>
      </c>
      <c r="AF96" s="441" t="str">
        <f t="shared" si="243"/>
        <v/>
      </c>
      <c r="AG96" s="440">
        <f t="shared" si="243"/>
        <v>2.4136382703279544E-2</v>
      </c>
      <c r="AH96" s="440" t="str">
        <f t="shared" si="243"/>
        <v/>
      </c>
      <c r="AI96" s="440">
        <f t="shared" si="243"/>
        <v>2.5821312647463061E-2</v>
      </c>
      <c r="AJ96" s="440" t="str">
        <f t="shared" si="243"/>
        <v/>
      </c>
      <c r="AK96" s="440">
        <f t="shared" si="243"/>
        <v>2.7038871910389468E-2</v>
      </c>
      <c r="AL96" s="440" t="str">
        <f t="shared" si="243"/>
        <v/>
      </c>
      <c r="AM96" s="440">
        <f t="shared" si="243"/>
        <v>2.5175583462276333E-2</v>
      </c>
      <c r="AN96" s="438">
        <f t="shared" si="243"/>
        <v>2.5479270673893214E-2</v>
      </c>
      <c r="AO96" s="442">
        <f t="shared" si="243"/>
        <v>2.8585256836753396E-2</v>
      </c>
      <c r="AP96" s="343">
        <v>64</v>
      </c>
      <c r="AQ96" s="440">
        <f t="shared" ref="AQ96:BI96" si="244">IF((AQ32-AQ28)=0,"",(AQ73)/(AQ32-AQ28))</f>
        <v>3.090169405012454E-2</v>
      </c>
      <c r="AR96" s="440">
        <f t="shared" si="244"/>
        <v>3.0901694050124537E-2</v>
      </c>
      <c r="AS96" s="440">
        <f t="shared" si="244"/>
        <v>3.3452807766538292E-2</v>
      </c>
      <c r="AT96" s="440">
        <f t="shared" si="244"/>
        <v>3.3452807766538299E-2</v>
      </c>
      <c r="AU96" s="440">
        <f t="shared" si="244"/>
        <v>3.4899848854720555E-2</v>
      </c>
      <c r="AV96" s="440">
        <f t="shared" si="244"/>
        <v>3.4899848854720555E-2</v>
      </c>
      <c r="AW96" s="440">
        <f t="shared" si="244"/>
        <v>3.3520489019398171E-2</v>
      </c>
      <c r="AX96" s="440">
        <f t="shared" si="244"/>
        <v>3.3520489019398178E-2</v>
      </c>
      <c r="AY96" s="436">
        <f t="shared" si="244"/>
        <v>3.3257016937013134E-2</v>
      </c>
      <c r="AZ96" s="441" t="str">
        <f t="shared" si="244"/>
        <v/>
      </c>
      <c r="BA96" s="440">
        <f t="shared" si="244"/>
        <v>2.5520142775459873E-2</v>
      </c>
      <c r="BB96" s="440" t="str">
        <f t="shared" si="244"/>
        <v/>
      </c>
      <c r="BC96" s="440">
        <f t="shared" si="244"/>
        <v>2.6582882648743443E-2</v>
      </c>
      <c r="BD96" s="440" t="str">
        <f t="shared" si="244"/>
        <v/>
      </c>
      <c r="BE96" s="440">
        <f t="shared" si="244"/>
        <v>2.772387508429882E-2</v>
      </c>
      <c r="BF96" s="440" t="str">
        <f t="shared" si="244"/>
        <v/>
      </c>
      <c r="BG96" s="440">
        <f t="shared" si="244"/>
        <v>2.6326309955698436E-2</v>
      </c>
      <c r="BH96" s="438">
        <f t="shared" si="244"/>
        <v>2.652727020689153E-2</v>
      </c>
      <c r="BI96" s="442">
        <f t="shared" si="244"/>
        <v>3.0650087986103386E-2</v>
      </c>
      <c r="BJ96" s="343">
        <v>64</v>
      </c>
      <c r="BK96" s="440">
        <f t="shared" ref="BK96:CC96" si="245">IF((BK32-BK28)=0,"",(BK73)/(BK32-BK28))</f>
        <v>2.8754893539997779E-2</v>
      </c>
      <c r="BL96" s="440">
        <f t="shared" si="245"/>
        <v>2.8754893539997783E-2</v>
      </c>
      <c r="BM96" s="440">
        <f t="shared" si="245"/>
        <v>3.1118511353853816E-2</v>
      </c>
      <c r="BN96" s="440">
        <f t="shared" si="245"/>
        <v>3.1118511353853816E-2</v>
      </c>
      <c r="BO96" s="440">
        <f t="shared" si="245"/>
        <v>3.2401269064828375E-2</v>
      </c>
      <c r="BP96" s="440">
        <f t="shared" si="245"/>
        <v>3.2401269064828382E-2</v>
      </c>
      <c r="BQ96" s="440">
        <f t="shared" si="245"/>
        <v>2.5625754092514292E-2</v>
      </c>
      <c r="BR96" s="440">
        <f t="shared" si="245"/>
        <v>2.5625754092514288E-2</v>
      </c>
      <c r="BS96" s="436">
        <f t="shared" si="245"/>
        <v>2.9198601646797773E-2</v>
      </c>
      <c r="BT96" s="441" t="str">
        <f t="shared" si="245"/>
        <v/>
      </c>
      <c r="BU96" s="440">
        <f t="shared" si="245"/>
        <v>2.6668906916056782E-2</v>
      </c>
      <c r="BV96" s="440" t="str">
        <f t="shared" si="245"/>
        <v/>
      </c>
      <c r="BW96" s="440">
        <f t="shared" si="245"/>
        <v>2.8498637670364351E-2</v>
      </c>
      <c r="BX96" s="440" t="str">
        <f t="shared" si="245"/>
        <v/>
      </c>
      <c r="BY96" s="440">
        <f t="shared" si="245"/>
        <v>3.0170424677746121E-2</v>
      </c>
      <c r="BZ96" s="440" t="str">
        <f t="shared" si="245"/>
        <v/>
      </c>
      <c r="CA96" s="440">
        <f t="shared" si="245"/>
        <v>2.9855678917084728E-2</v>
      </c>
      <c r="CB96" s="438">
        <f t="shared" si="245"/>
        <v>2.8814063314180995E-2</v>
      </c>
      <c r="CC96" s="442">
        <f t="shared" si="245"/>
        <v>2.9111817427786381E-2</v>
      </c>
      <c r="CD96" s="343">
        <v>64</v>
      </c>
      <c r="CE96" s="438">
        <f t="shared" ref="CE96:CS96" si="246">IF((CE32-CE28)=0,"",(CE73)/(CE32-CE28))</f>
        <v>3.0753097015332586E-2</v>
      </c>
      <c r="CF96" s="438">
        <f t="shared" si="246"/>
        <v>3.3300117230435508E-2</v>
      </c>
      <c r="CG96" s="438">
        <f t="shared" si="246"/>
        <v>3.4749459967194668E-2</v>
      </c>
      <c r="CH96" s="438">
        <f t="shared" si="246"/>
        <v>3.2932569510523153E-2</v>
      </c>
      <c r="CI96" s="439">
        <f t="shared" si="246"/>
        <v>3.2980919621026443E-2</v>
      </c>
      <c r="CJ96" s="438">
        <f t="shared" si="246"/>
        <v>2.5533927153749612E-2</v>
      </c>
      <c r="CK96" s="438">
        <f t="shared" si="246"/>
        <v>2.66999852144762E-2</v>
      </c>
      <c r="CL96" s="438">
        <f t="shared" si="246"/>
        <v>2.7752981509920366E-2</v>
      </c>
      <c r="CM96" s="438">
        <f t="shared" si="246"/>
        <v>2.6367322705971034E-2</v>
      </c>
      <c r="CN96" s="439" t="str">
        <f t="shared" si="246"/>
        <v/>
      </c>
      <c r="CO96" s="438">
        <f t="shared" si="246"/>
        <v>2.8498211324751294E-2</v>
      </c>
      <c r="CP96" s="438">
        <f t="shared" si="246"/>
        <v>3.078625843674769E-2</v>
      </c>
      <c r="CQ96" s="438">
        <f t="shared" si="246"/>
        <v>3.1942537616597717E-2</v>
      </c>
      <c r="CR96" s="438">
        <f t="shared" si="246"/>
        <v>3.0372674315727582E-2</v>
      </c>
      <c r="CS96" s="439">
        <f t="shared" si="246"/>
        <v>3.0413010494478497E-2</v>
      </c>
    </row>
    <row r="97" spans="1:102" ht="15.75" customHeight="1" x14ac:dyDescent="0.25">
      <c r="A97" s="148" t="s">
        <v>49</v>
      </c>
      <c r="B97" s="343">
        <v>65</v>
      </c>
      <c r="C97" s="440">
        <f t="shared" ref="C97:U97" si="247">IF((C32-C28)=0,"",C88/(C32-C28))</f>
        <v>8.8880837196240389E-2</v>
      </c>
      <c r="D97" s="440">
        <f t="shared" si="247"/>
        <v>8.8880837196240403E-2</v>
      </c>
      <c r="E97" s="440">
        <f t="shared" si="247"/>
        <v>0.10026191198890634</v>
      </c>
      <c r="F97" s="440">
        <f t="shared" si="247"/>
        <v>0.10026191198890637</v>
      </c>
      <c r="G97" s="440">
        <f t="shared" si="247"/>
        <v>9.8812766428557047E-2</v>
      </c>
      <c r="H97" s="440">
        <f t="shared" si="247"/>
        <v>9.8812766428557047E-2</v>
      </c>
      <c r="I97" s="440">
        <f t="shared" si="247"/>
        <v>0.10093151428812695</v>
      </c>
      <c r="J97" s="440">
        <f t="shared" si="247"/>
        <v>0.10093151428812694</v>
      </c>
      <c r="K97" s="443">
        <f t="shared" si="247"/>
        <v>9.7343614752563826E-2</v>
      </c>
      <c r="L97" s="441" t="str">
        <f t="shared" si="247"/>
        <v/>
      </c>
      <c r="M97" s="440">
        <f t="shared" si="247"/>
        <v>7.7233644102878293E-2</v>
      </c>
      <c r="N97" s="440" t="str">
        <f t="shared" si="247"/>
        <v/>
      </c>
      <c r="O97" s="440">
        <f t="shared" si="247"/>
        <v>8.4709787757909175E-2</v>
      </c>
      <c r="P97" s="440" t="str">
        <f t="shared" si="247"/>
        <v/>
      </c>
      <c r="Q97" s="440">
        <f t="shared" si="247"/>
        <v>8.054606402510732E-2</v>
      </c>
      <c r="R97" s="440" t="str">
        <f t="shared" si="247"/>
        <v/>
      </c>
      <c r="S97" s="440">
        <f t="shared" si="247"/>
        <v>8.0752334699760217E-2</v>
      </c>
      <c r="T97" s="444">
        <f t="shared" si="247"/>
        <v>8.0730175012848904E-2</v>
      </c>
      <c r="U97" s="441">
        <f t="shared" si="247"/>
        <v>8.6911179735525104E-2</v>
      </c>
      <c r="V97" s="343">
        <v>65</v>
      </c>
      <c r="W97" s="440">
        <f t="shared" ref="W97:AO97" si="248">IF((W32-W28)=0,"",W88/(W32-W28))</f>
        <v>8.8880837196240389E-2</v>
      </c>
      <c r="X97" s="440">
        <f t="shared" si="248"/>
        <v>8.8880837196240403E-2</v>
      </c>
      <c r="Y97" s="440">
        <f t="shared" si="248"/>
        <v>0.10026191198890638</v>
      </c>
      <c r="Z97" s="440">
        <f t="shared" si="248"/>
        <v>0.10026191198890637</v>
      </c>
      <c r="AA97" s="440">
        <f t="shared" si="248"/>
        <v>9.8812766428557061E-2</v>
      </c>
      <c r="AB97" s="440">
        <f t="shared" si="248"/>
        <v>9.8812766428557061E-2</v>
      </c>
      <c r="AC97" s="440">
        <f t="shared" si="248"/>
        <v>0.10093151428812695</v>
      </c>
      <c r="AD97" s="440">
        <f t="shared" si="248"/>
        <v>0.10093151428812695</v>
      </c>
      <c r="AE97" s="443">
        <f t="shared" si="248"/>
        <v>9.7179985935880897E-2</v>
      </c>
      <c r="AF97" s="441" t="str">
        <f t="shared" si="248"/>
        <v/>
      </c>
      <c r="AG97" s="440">
        <f t="shared" si="248"/>
        <v>7.2255934446212228E-2</v>
      </c>
      <c r="AH97" s="440" t="str">
        <f t="shared" si="248"/>
        <v/>
      </c>
      <c r="AI97" s="440">
        <f t="shared" si="248"/>
        <v>8.0037298559916592E-2</v>
      </c>
      <c r="AJ97" s="440" t="str">
        <f t="shared" si="248"/>
        <v/>
      </c>
      <c r="AK97" s="440">
        <f t="shared" si="248"/>
        <v>7.8975556064085947E-2</v>
      </c>
      <c r="AL97" s="440" t="str">
        <f t="shared" si="248"/>
        <v/>
      </c>
      <c r="AM97" s="440">
        <f t="shared" si="248"/>
        <v>7.8150473964533937E-2</v>
      </c>
      <c r="AN97" s="444">
        <f t="shared" si="248"/>
        <v>7.7106890997615127E-2</v>
      </c>
      <c r="AO97" s="441">
        <f t="shared" si="248"/>
        <v>8.5205368371412377E-2</v>
      </c>
      <c r="AP97" s="343">
        <v>65</v>
      </c>
      <c r="AQ97" s="440">
        <f t="shared" ref="AQ97:BI97" si="249">IF((AQ32-AQ28)=0,"",AQ88/(AQ32-AQ28))</f>
        <v>8.8880837196240389E-2</v>
      </c>
      <c r="AR97" s="440">
        <f t="shared" si="249"/>
        <v>8.8880837196240403E-2</v>
      </c>
      <c r="AS97" s="440">
        <f t="shared" si="249"/>
        <v>0.10026191198890634</v>
      </c>
      <c r="AT97" s="440">
        <f t="shared" si="249"/>
        <v>0.10026191198890635</v>
      </c>
      <c r="AU97" s="440">
        <f t="shared" si="249"/>
        <v>9.8812766428557061E-2</v>
      </c>
      <c r="AV97" s="440">
        <f t="shared" si="249"/>
        <v>9.8812766428557061E-2</v>
      </c>
      <c r="AW97" s="440">
        <f t="shared" si="249"/>
        <v>0.10093151428812691</v>
      </c>
      <c r="AX97" s="440">
        <f t="shared" si="249"/>
        <v>0.10093151428812694</v>
      </c>
      <c r="AY97" s="443">
        <f t="shared" si="249"/>
        <v>9.7461121049997393E-2</v>
      </c>
      <c r="AZ97" s="441" t="str">
        <f t="shared" si="249"/>
        <v/>
      </c>
      <c r="BA97" s="440">
        <f t="shared" si="249"/>
        <v>7.6398430788514687E-2</v>
      </c>
      <c r="BB97" s="440" t="str">
        <f t="shared" si="249"/>
        <v/>
      </c>
      <c r="BC97" s="440">
        <f t="shared" si="249"/>
        <v>8.2397906883705394E-2</v>
      </c>
      <c r="BD97" s="440" t="str">
        <f t="shared" si="249"/>
        <v/>
      </c>
      <c r="BE97" s="440">
        <f t="shared" si="249"/>
        <v>8.0976323949094028E-2</v>
      </c>
      <c r="BF97" s="440" t="str">
        <f t="shared" si="249"/>
        <v/>
      </c>
      <c r="BG97" s="440">
        <f t="shared" si="249"/>
        <v>8.1722578698441573E-2</v>
      </c>
      <c r="BH97" s="444">
        <f t="shared" si="249"/>
        <v>8.0279567975056976E-2</v>
      </c>
      <c r="BI97" s="441">
        <f t="shared" si="249"/>
        <v>9.080543400427625E-2</v>
      </c>
      <c r="BJ97" s="343">
        <v>65</v>
      </c>
      <c r="BK97" s="440">
        <f t="shared" ref="BK97:CC97" si="250">IF((BK32-BK28)=0,"",BK88/(BK32-BK28))</f>
        <v>8.2706113366411607E-2</v>
      </c>
      <c r="BL97" s="440">
        <f t="shared" si="250"/>
        <v>8.2706113366411607E-2</v>
      </c>
      <c r="BM97" s="440">
        <f t="shared" si="250"/>
        <v>9.3265757193233434E-2</v>
      </c>
      <c r="BN97" s="440">
        <f t="shared" si="250"/>
        <v>9.3265757193233448E-2</v>
      </c>
      <c r="BO97" s="440">
        <f t="shared" si="250"/>
        <v>9.173847845070715E-2</v>
      </c>
      <c r="BP97" s="440">
        <f t="shared" si="250"/>
        <v>9.173847845070715E-2</v>
      </c>
      <c r="BQ97" s="440">
        <f t="shared" si="250"/>
        <v>7.7160156101418062E-2</v>
      </c>
      <c r="BR97" s="440">
        <f t="shared" si="250"/>
        <v>7.7160156101418062E-2</v>
      </c>
      <c r="BS97" s="443">
        <f t="shared" si="250"/>
        <v>8.5576743173655587E-2</v>
      </c>
      <c r="BT97" s="441" t="str">
        <f t="shared" si="250"/>
        <v/>
      </c>
      <c r="BU97" s="440">
        <f t="shared" si="250"/>
        <v>7.9837431050382893E-2</v>
      </c>
      <c r="BV97" s="440" t="str">
        <f t="shared" si="250"/>
        <v/>
      </c>
      <c r="BW97" s="440">
        <f t="shared" si="250"/>
        <v>8.833609673201262E-2</v>
      </c>
      <c r="BX97" s="440" t="str">
        <f t="shared" si="250"/>
        <v/>
      </c>
      <c r="BY97" s="440">
        <f t="shared" si="250"/>
        <v>8.8122243912811968E-2</v>
      </c>
      <c r="BZ97" s="440" t="str">
        <f t="shared" si="250"/>
        <v/>
      </c>
      <c r="CA97" s="440">
        <f t="shared" si="250"/>
        <v>9.2678505799052818E-2</v>
      </c>
      <c r="CB97" s="444">
        <f t="shared" si="250"/>
        <v>8.7339965933753913E-2</v>
      </c>
      <c r="CC97" s="441">
        <f t="shared" si="250"/>
        <v>8.5974674659801464E-2</v>
      </c>
      <c r="CD97" s="343">
        <v>65</v>
      </c>
      <c r="CE97" s="444">
        <f t="shared" ref="CE97:CS97" si="251">IF((CE32-CE28)=0,"",CE88/(CE32-CE28))</f>
        <v>8.8453435745829145E-2</v>
      </c>
      <c r="CF97" s="444">
        <f t="shared" si="251"/>
        <v>9.9804280892613451E-2</v>
      </c>
      <c r="CG97" s="444">
        <f t="shared" si="251"/>
        <v>9.8386966818982652E-2</v>
      </c>
      <c r="CH97" s="444">
        <f t="shared" si="251"/>
        <v>9.9161265462820461E-2</v>
      </c>
      <c r="CI97" s="471">
        <f t="shared" si="251"/>
        <v>9.6650345229374615E-2</v>
      </c>
      <c r="CJ97" s="444">
        <f t="shared" si="251"/>
        <v>7.643969642248849E-2</v>
      </c>
      <c r="CK97" s="444">
        <f t="shared" si="251"/>
        <v>8.276088506160241E-2</v>
      </c>
      <c r="CL97" s="444">
        <f t="shared" si="251"/>
        <v>8.1061338448076004E-2</v>
      </c>
      <c r="CM97" s="444">
        <f t="shared" si="251"/>
        <v>8.1849891174722217E-2</v>
      </c>
      <c r="CN97" s="471" t="str">
        <f t="shared" si="251"/>
        <v/>
      </c>
      <c r="CO97" s="444">
        <f t="shared" si="251"/>
        <v>8.3263030066570751E-2</v>
      </c>
      <c r="CP97" s="444">
        <f t="shared" si="251"/>
        <v>9.3312790967792283E-2</v>
      </c>
      <c r="CQ97" s="444">
        <f t="shared" si="251"/>
        <v>9.1436085199119777E-2</v>
      </c>
      <c r="CR97" s="444">
        <f t="shared" si="251"/>
        <v>9.2411282533818681E-2</v>
      </c>
      <c r="CS97" s="471">
        <f t="shared" si="251"/>
        <v>9.0148997015620666E-2</v>
      </c>
    </row>
    <row r="98" spans="1:102" s="360" customFormat="1" ht="15.75" customHeight="1" x14ac:dyDescent="0.25">
      <c r="A98" s="359"/>
      <c r="AP98" s="472"/>
    </row>
    <row r="99" spans="1:102" s="360" customFormat="1" ht="15.75" customHeight="1" x14ac:dyDescent="0.25">
      <c r="A99" s="359"/>
    </row>
    <row r="100" spans="1:102" s="360" customFormat="1" ht="15.75" customHeight="1" x14ac:dyDescent="0.25">
      <c r="C100" s="362"/>
      <c r="D100" s="362"/>
      <c r="E100" s="362"/>
      <c r="F100" s="362"/>
      <c r="G100" s="362"/>
      <c r="H100" s="362"/>
      <c r="I100" s="362"/>
      <c r="J100" s="362"/>
      <c r="L100" s="362"/>
      <c r="M100" s="362"/>
      <c r="N100" s="362"/>
      <c r="O100" s="362"/>
      <c r="P100" s="362"/>
      <c r="Q100" s="362"/>
      <c r="R100" s="362"/>
      <c r="S100" s="362"/>
      <c r="W100" s="362"/>
      <c r="X100" s="362"/>
      <c r="Y100" s="362"/>
      <c r="Z100" s="362"/>
      <c r="AA100" s="362"/>
      <c r="AB100" s="362"/>
      <c r="AC100" s="362"/>
      <c r="AD100" s="362"/>
      <c r="AF100" s="362"/>
      <c r="AG100" s="362"/>
      <c r="AH100" s="362"/>
      <c r="AI100" s="362"/>
      <c r="AJ100" s="362"/>
      <c r="AK100" s="362"/>
      <c r="AL100" s="362"/>
      <c r="AM100" s="362"/>
      <c r="AQ100" s="362"/>
      <c r="AR100" s="362"/>
      <c r="AS100" s="362"/>
      <c r="AT100" s="362"/>
      <c r="AU100" s="362"/>
      <c r="AV100" s="362"/>
      <c r="AW100" s="362"/>
      <c r="AX100" s="362"/>
      <c r="AZ100" s="362"/>
      <c r="BA100" s="362"/>
      <c r="BB100" s="362"/>
      <c r="BC100" s="362"/>
      <c r="BD100" s="362"/>
      <c r="BE100" s="362"/>
      <c r="BF100" s="362"/>
      <c r="BG100" s="362"/>
      <c r="BK100" s="362"/>
      <c r="BL100" s="362"/>
      <c r="BM100" s="362"/>
      <c r="BN100" s="362"/>
      <c r="BO100" s="362"/>
      <c r="BP100" s="362"/>
      <c r="BQ100" s="362"/>
      <c r="BR100" s="362"/>
      <c r="BT100" s="362"/>
      <c r="BU100" s="362"/>
      <c r="BV100" s="362"/>
      <c r="BW100" s="362"/>
      <c r="BX100" s="362"/>
      <c r="BY100" s="362"/>
      <c r="BZ100" s="362"/>
      <c r="CA100" s="362"/>
      <c r="CT100" s="362"/>
      <c r="CU100" s="362"/>
      <c r="CV100" s="362"/>
      <c r="CW100" s="362"/>
      <c r="CX100" s="362"/>
    </row>
    <row r="101" spans="1:102" s="360" customFormat="1" ht="15.75" customHeight="1" x14ac:dyDescent="0.25">
      <c r="C101" s="362"/>
      <c r="D101" s="362"/>
      <c r="F101" s="362"/>
      <c r="H101" s="362"/>
      <c r="J101" s="362"/>
      <c r="L101" s="362"/>
      <c r="M101" s="362"/>
      <c r="O101" s="362"/>
      <c r="Q101" s="362"/>
      <c r="S101" s="362"/>
      <c r="W101" s="362"/>
      <c r="X101" s="362"/>
      <c r="Z101" s="362"/>
      <c r="AB101" s="362"/>
      <c r="AD101" s="362"/>
      <c r="AF101" s="362"/>
      <c r="AG101" s="362"/>
      <c r="AI101" s="362"/>
      <c r="AK101" s="362"/>
      <c r="AM101" s="362"/>
      <c r="AQ101" s="362"/>
      <c r="AR101" s="362"/>
      <c r="AT101" s="362"/>
      <c r="AV101" s="362"/>
      <c r="AX101" s="362"/>
      <c r="AZ101" s="362"/>
      <c r="BA101" s="362"/>
      <c r="BC101" s="362"/>
      <c r="BE101" s="362"/>
      <c r="BG101" s="362"/>
      <c r="BK101" s="362"/>
      <c r="BL101" s="362"/>
      <c r="BN101" s="362"/>
      <c r="BP101" s="362"/>
      <c r="BR101" s="362"/>
      <c r="BT101" s="362"/>
      <c r="BU101" s="362"/>
      <c r="BW101" s="362"/>
      <c r="BY101" s="362"/>
      <c r="CA101" s="362"/>
      <c r="CT101" s="362"/>
      <c r="CV101" s="362"/>
      <c r="CX101" s="362"/>
    </row>
    <row r="102" spans="1:102" s="360" customFormat="1" ht="15.75" customHeight="1" x14ac:dyDescent="0.25"/>
    <row r="103" spans="1:102" s="360" customFormat="1" x14ac:dyDescent="0.25">
      <c r="C103" s="362"/>
      <c r="D103" s="362"/>
      <c r="E103" s="362"/>
      <c r="F103" s="362"/>
      <c r="G103" s="362"/>
      <c r="H103" s="362"/>
      <c r="I103" s="362"/>
      <c r="J103" s="362"/>
      <c r="L103" s="362"/>
      <c r="M103" s="362"/>
      <c r="N103" s="362"/>
      <c r="O103" s="362"/>
      <c r="P103" s="362"/>
      <c r="Q103" s="362"/>
      <c r="R103" s="362"/>
      <c r="S103" s="362"/>
      <c r="W103" s="362"/>
      <c r="X103" s="362"/>
      <c r="Y103" s="362"/>
      <c r="Z103" s="362"/>
      <c r="AA103" s="362"/>
      <c r="AB103" s="362"/>
      <c r="AC103" s="362"/>
      <c r="AD103" s="362"/>
      <c r="AF103" s="362"/>
      <c r="AG103" s="362"/>
      <c r="AH103" s="362"/>
      <c r="AI103" s="362"/>
      <c r="AJ103" s="362"/>
      <c r="AK103" s="362"/>
      <c r="AL103" s="362"/>
      <c r="AM103" s="362"/>
      <c r="AQ103" s="362"/>
      <c r="AR103" s="362"/>
      <c r="AS103" s="362"/>
      <c r="AT103" s="362"/>
      <c r="AU103" s="362"/>
      <c r="AV103" s="362"/>
      <c r="AW103" s="362"/>
      <c r="AX103" s="362"/>
      <c r="AZ103" s="362"/>
      <c r="BA103" s="362"/>
      <c r="BB103" s="362"/>
      <c r="BC103" s="362"/>
      <c r="BD103" s="362"/>
      <c r="BE103" s="362"/>
      <c r="BF103" s="362"/>
      <c r="BG103" s="362"/>
      <c r="BK103" s="362"/>
      <c r="BL103" s="362"/>
      <c r="BM103" s="362"/>
      <c r="BN103" s="362"/>
      <c r="BO103" s="362"/>
      <c r="BP103" s="362"/>
      <c r="BQ103" s="362"/>
      <c r="BR103" s="362"/>
      <c r="BT103" s="362"/>
      <c r="BU103" s="362"/>
      <c r="BV103" s="362"/>
      <c r="BW103" s="362"/>
      <c r="BX103" s="362"/>
      <c r="BY103" s="362"/>
      <c r="BZ103" s="362"/>
      <c r="CA103" s="362"/>
      <c r="CT103" s="362"/>
      <c r="CU103" s="362"/>
      <c r="CV103" s="362"/>
      <c r="CW103" s="362"/>
      <c r="CX103" s="362"/>
    </row>
    <row r="104" spans="1:102" s="360" customFormat="1" x14ac:dyDescent="0.25">
      <c r="C104" s="362"/>
      <c r="D104" s="362"/>
      <c r="F104" s="362"/>
      <c r="H104" s="362"/>
      <c r="J104" s="362"/>
      <c r="L104" s="362"/>
      <c r="M104" s="362"/>
      <c r="O104" s="362"/>
      <c r="Q104" s="362"/>
      <c r="S104" s="362"/>
      <c r="W104" s="362"/>
      <c r="X104" s="362"/>
      <c r="Z104" s="362"/>
      <c r="AB104" s="362"/>
      <c r="AD104" s="362"/>
      <c r="AF104" s="362"/>
      <c r="AG104" s="362"/>
      <c r="AI104" s="362"/>
      <c r="AK104" s="362"/>
      <c r="AM104" s="362"/>
      <c r="AQ104" s="362"/>
      <c r="AR104" s="362"/>
      <c r="AT104" s="362"/>
      <c r="AV104" s="362"/>
      <c r="AX104" s="362"/>
      <c r="AZ104" s="362"/>
      <c r="BA104" s="362"/>
      <c r="BC104" s="362"/>
      <c r="BE104" s="362"/>
      <c r="BG104" s="362"/>
      <c r="BK104" s="362"/>
      <c r="BL104" s="362"/>
      <c r="BN104" s="362"/>
      <c r="BP104" s="362"/>
      <c r="BR104" s="362"/>
      <c r="BT104" s="362"/>
      <c r="BU104" s="362"/>
      <c r="BW104" s="362"/>
      <c r="BY104" s="362"/>
      <c r="CA104" s="362"/>
      <c r="CT104" s="362"/>
      <c r="CV104" s="362"/>
      <c r="CX104" s="362"/>
    </row>
    <row r="105" spans="1:102" s="360" customFormat="1" x14ac:dyDescent="0.25"/>
    <row r="106" spans="1:102" s="360" customFormat="1" x14ac:dyDescent="0.25">
      <c r="CT106" s="362"/>
      <c r="CV106" s="362"/>
      <c r="CX106" s="362"/>
    </row>
    <row r="107" spans="1:102" s="360" customFormat="1" x14ac:dyDescent="0.25">
      <c r="CT107" s="362"/>
      <c r="CV107" s="362"/>
      <c r="CX107" s="362"/>
    </row>
    <row r="108" spans="1:102" s="360" customFormat="1" x14ac:dyDescent="0.25">
      <c r="CT108" s="362"/>
      <c r="CV108" s="362"/>
      <c r="CX108" s="362"/>
    </row>
    <row r="109" spans="1:102" s="360" customFormat="1" x14ac:dyDescent="0.25"/>
    <row r="110" spans="1:102" s="360" customFormat="1" x14ac:dyDescent="0.25">
      <c r="CT110" s="362"/>
      <c r="CV110" s="362"/>
      <c r="CX110" s="362"/>
    </row>
    <row r="111" spans="1:102" s="360" customFormat="1" x14ac:dyDescent="0.25"/>
    <row r="112" spans="1:102" s="360" customFormat="1" x14ac:dyDescent="0.25"/>
    <row r="113" s="360" customFormat="1" x14ac:dyDescent="0.25"/>
    <row r="114" s="360" customFormat="1" x14ac:dyDescent="0.25"/>
    <row r="115" s="360" customFormat="1" x14ac:dyDescent="0.25"/>
    <row r="116" s="360" customFormat="1" x14ac:dyDescent="0.25"/>
    <row r="117" s="360" customFormat="1" x14ac:dyDescent="0.25"/>
    <row r="118" s="360" customFormat="1" x14ac:dyDescent="0.25"/>
    <row r="119" s="360" customFormat="1" x14ac:dyDescent="0.25"/>
    <row r="120" s="360" customFormat="1" x14ac:dyDescent="0.25"/>
    <row r="121" s="360" customFormat="1" x14ac:dyDescent="0.25"/>
    <row r="122" s="360" customFormat="1" x14ac:dyDescent="0.25"/>
    <row r="123" s="360" customFormat="1" x14ac:dyDescent="0.25"/>
    <row r="124" s="360" customFormat="1" x14ac:dyDescent="0.25"/>
    <row r="125" s="360" customFormat="1" x14ac:dyDescent="0.25"/>
    <row r="126" s="360" customFormat="1" x14ac:dyDescent="0.25"/>
    <row r="127" s="360" customFormat="1" x14ac:dyDescent="0.25"/>
    <row r="128" s="360" customFormat="1" x14ac:dyDescent="0.25"/>
    <row r="129" s="360" customFormat="1" x14ac:dyDescent="0.25"/>
    <row r="130" s="360" customFormat="1" x14ac:dyDescent="0.25"/>
    <row r="131" s="360" customFormat="1" x14ac:dyDescent="0.25"/>
    <row r="132" s="360" customFormat="1" x14ac:dyDescent="0.25"/>
    <row r="133" s="360" customFormat="1" x14ac:dyDescent="0.25"/>
    <row r="134" s="360" customFormat="1" x14ac:dyDescent="0.25"/>
    <row r="135" s="360" customFormat="1" x14ac:dyDescent="0.25"/>
    <row r="136" s="360" customFormat="1" x14ac:dyDescent="0.25"/>
    <row r="137" s="360" customFormat="1" x14ac:dyDescent="0.25"/>
    <row r="138" s="360" customFormat="1" x14ac:dyDescent="0.25"/>
    <row r="139" s="360" customFormat="1" x14ac:dyDescent="0.25"/>
    <row r="140" s="360" customFormat="1" x14ac:dyDescent="0.25"/>
    <row r="141" s="360" customFormat="1" x14ac:dyDescent="0.25"/>
    <row r="142" s="360" customFormat="1" x14ac:dyDescent="0.25"/>
    <row r="143" s="360" customFormat="1" x14ac:dyDescent="0.25"/>
    <row r="144" s="360" customFormat="1" x14ac:dyDescent="0.25"/>
    <row r="145" s="360" customFormat="1" x14ac:dyDescent="0.25"/>
    <row r="146" s="360" customFormat="1" x14ac:dyDescent="0.25"/>
    <row r="147" s="360" customFormat="1" x14ac:dyDescent="0.25"/>
    <row r="148" s="360" customFormat="1" x14ac:dyDescent="0.25"/>
    <row r="149" s="360" customFormat="1" x14ac:dyDescent="0.25"/>
    <row r="150" s="360" customFormat="1" x14ac:dyDescent="0.25"/>
    <row r="151" s="360" customFormat="1" x14ac:dyDescent="0.25"/>
    <row r="152" s="360" customFormat="1" x14ac:dyDescent="0.25"/>
    <row r="153" s="360" customFormat="1" x14ac:dyDescent="0.25"/>
    <row r="154" s="360" customFormat="1" x14ac:dyDescent="0.25"/>
    <row r="155" s="360" customFormat="1" x14ac:dyDescent="0.25"/>
    <row r="156" s="360" customFormat="1" x14ac:dyDescent="0.25"/>
    <row r="157" s="360" customFormat="1" x14ac:dyDescent="0.25"/>
    <row r="158" s="360" customFormat="1" x14ac:dyDescent="0.25"/>
    <row r="159" s="360" customFormat="1" x14ac:dyDescent="0.25"/>
    <row r="160" s="360" customFormat="1" x14ac:dyDescent="0.25"/>
    <row r="161" s="360" customFormat="1" x14ac:dyDescent="0.25"/>
    <row r="162" s="360" customFormat="1" x14ac:dyDescent="0.25"/>
    <row r="163" s="360" customFormat="1" x14ac:dyDescent="0.25"/>
    <row r="164" s="360" customFormat="1" x14ac:dyDescent="0.25"/>
    <row r="165" s="360" customFormat="1" x14ac:dyDescent="0.25"/>
    <row r="166" s="360" customFormat="1" x14ac:dyDescent="0.25"/>
    <row r="167" s="360" customFormat="1" x14ac:dyDescent="0.25"/>
    <row r="168" s="360" customFormat="1" x14ac:dyDescent="0.25"/>
    <row r="169" s="360" customFormat="1" x14ac:dyDescent="0.25"/>
    <row r="170" s="360" customFormat="1" x14ac:dyDescent="0.25"/>
    <row r="171" s="360" customFormat="1" x14ac:dyDescent="0.25"/>
    <row r="172" s="360" customFormat="1" x14ac:dyDescent="0.25"/>
    <row r="173" s="360" customFormat="1" x14ac:dyDescent="0.25"/>
    <row r="174" s="360" customFormat="1" x14ac:dyDescent="0.25"/>
    <row r="175" s="360" customFormat="1" x14ac:dyDescent="0.25"/>
    <row r="176" s="360" customFormat="1" x14ac:dyDescent="0.25"/>
    <row r="177" s="360" customFormat="1" x14ac:dyDescent="0.25"/>
    <row r="178" s="360" customFormat="1" x14ac:dyDescent="0.25"/>
    <row r="179" s="360" customFormat="1" x14ac:dyDescent="0.25"/>
    <row r="180" s="360" customFormat="1" x14ac:dyDescent="0.25"/>
    <row r="181" s="360" customFormat="1" x14ac:dyDescent="0.25"/>
    <row r="182" s="360" customFormat="1" x14ac:dyDescent="0.25"/>
    <row r="183" s="360" customFormat="1" x14ac:dyDescent="0.25"/>
    <row r="184" s="360" customFormat="1" x14ac:dyDescent="0.25"/>
    <row r="185" s="360" customFormat="1" x14ac:dyDescent="0.25"/>
    <row r="186" s="360" customFormat="1" x14ac:dyDescent="0.25"/>
    <row r="187" s="360" customFormat="1" x14ac:dyDescent="0.25"/>
    <row r="188" s="360" customFormat="1" x14ac:dyDescent="0.25"/>
    <row r="189" s="360" customFormat="1" x14ac:dyDescent="0.25"/>
    <row r="190" s="360" customFormat="1" x14ac:dyDescent="0.25"/>
    <row r="191" s="360" customFormat="1" x14ac:dyDescent="0.25"/>
    <row r="192" s="360" customFormat="1" x14ac:dyDescent="0.25"/>
    <row r="193" s="360" customFormat="1" x14ac:dyDescent="0.25"/>
    <row r="194" s="360" customFormat="1" x14ac:dyDescent="0.25"/>
    <row r="195" s="360" customFormat="1" x14ac:dyDescent="0.25"/>
    <row r="196" s="360" customFormat="1" x14ac:dyDescent="0.25"/>
    <row r="197" s="360" customFormat="1" x14ac:dyDescent="0.25"/>
    <row r="198" s="360" customFormat="1" x14ac:dyDescent="0.25"/>
    <row r="199" s="360" customFormat="1" x14ac:dyDescent="0.25"/>
    <row r="200" s="360" customFormat="1" x14ac:dyDescent="0.25"/>
    <row r="201" s="360" customFormat="1" x14ac:dyDescent="0.25"/>
    <row r="202" s="360" customFormat="1" x14ac:dyDescent="0.25"/>
    <row r="203" s="360" customFormat="1" x14ac:dyDescent="0.25"/>
    <row r="204" s="360" customFormat="1" x14ac:dyDescent="0.25"/>
    <row r="205" s="360" customFormat="1" x14ac:dyDescent="0.25"/>
    <row r="206" s="360" customFormat="1" x14ac:dyDescent="0.25"/>
    <row r="207" s="360" customFormat="1" x14ac:dyDescent="0.25"/>
    <row r="208" s="360" customFormat="1" x14ac:dyDescent="0.25"/>
    <row r="209" s="360" customFormat="1" x14ac:dyDescent="0.25"/>
    <row r="210" s="360" customFormat="1" x14ac:dyDescent="0.25"/>
    <row r="211" s="360" customFormat="1" x14ac:dyDescent="0.25"/>
    <row r="212" s="360" customFormat="1" x14ac:dyDescent="0.25"/>
    <row r="213" s="360" customFormat="1" x14ac:dyDescent="0.25"/>
    <row r="214" s="360" customFormat="1" x14ac:dyDescent="0.25"/>
    <row r="215" s="360" customFormat="1" x14ac:dyDescent="0.25"/>
    <row r="216" s="360" customFormat="1" x14ac:dyDescent="0.25"/>
    <row r="217" s="360" customFormat="1" x14ac:dyDescent="0.25"/>
    <row r="218" s="360" customFormat="1" x14ac:dyDescent="0.25"/>
    <row r="219" s="360" customFormat="1" x14ac:dyDescent="0.25"/>
    <row r="220" s="360" customFormat="1" x14ac:dyDescent="0.25"/>
    <row r="221" s="360" customFormat="1" x14ac:dyDescent="0.25"/>
    <row r="222" s="360" customFormat="1" x14ac:dyDescent="0.25"/>
    <row r="223" s="360" customFormat="1" x14ac:dyDescent="0.25"/>
    <row r="224" s="360" customFormat="1" x14ac:dyDescent="0.25"/>
    <row r="225" s="360" customFormat="1" x14ac:dyDescent="0.25"/>
    <row r="226" s="360" customFormat="1" x14ac:dyDescent="0.25"/>
    <row r="227" s="360" customFormat="1" x14ac:dyDescent="0.25"/>
    <row r="228" s="360" customFormat="1" x14ac:dyDescent="0.25"/>
    <row r="229" s="360" customFormat="1" x14ac:dyDescent="0.25"/>
    <row r="230" s="360" customFormat="1" x14ac:dyDescent="0.25"/>
    <row r="231" s="360" customFormat="1" x14ac:dyDescent="0.25"/>
    <row r="232" s="360" customFormat="1" x14ac:dyDescent="0.25"/>
    <row r="233" s="360" customFormat="1" x14ac:dyDescent="0.25"/>
    <row r="234" s="360" customFormat="1" x14ac:dyDescent="0.25"/>
    <row r="235" s="360" customFormat="1" x14ac:dyDescent="0.25"/>
    <row r="236" s="360" customFormat="1" x14ac:dyDescent="0.25"/>
    <row r="237" s="360" customFormat="1" x14ac:dyDescent="0.25"/>
    <row r="238" s="360" customFormat="1" x14ac:dyDescent="0.25"/>
    <row r="239" s="360" customFormat="1" x14ac:dyDescent="0.25"/>
    <row r="240" s="360" customFormat="1" x14ac:dyDescent="0.25"/>
    <row r="241" s="360" customFormat="1" x14ac:dyDescent="0.25"/>
    <row r="242" s="360" customFormat="1" x14ac:dyDescent="0.25"/>
    <row r="243" s="360" customFormat="1" x14ac:dyDescent="0.25"/>
    <row r="244" s="360" customFormat="1" x14ac:dyDescent="0.25"/>
    <row r="245" s="360" customFormat="1" x14ac:dyDescent="0.25"/>
    <row r="246" s="360" customFormat="1" x14ac:dyDescent="0.25"/>
    <row r="247" s="360" customFormat="1" x14ac:dyDescent="0.25"/>
    <row r="248" s="360" customFormat="1" x14ac:dyDescent="0.25"/>
    <row r="249" s="360" customFormat="1" x14ac:dyDescent="0.25"/>
    <row r="250" s="360" customFormat="1" x14ac:dyDescent="0.25"/>
    <row r="251" s="360" customFormat="1" x14ac:dyDescent="0.25"/>
    <row r="252" s="360" customFormat="1" x14ac:dyDescent="0.25"/>
    <row r="253" s="360" customFormat="1" x14ac:dyDescent="0.25"/>
    <row r="254" s="360" customFormat="1" x14ac:dyDescent="0.25"/>
    <row r="255" s="360" customFormat="1" x14ac:dyDescent="0.25"/>
    <row r="256" s="360" customFormat="1" x14ac:dyDescent="0.25"/>
    <row r="257" s="360" customFormat="1" x14ac:dyDescent="0.25"/>
    <row r="258" s="360" customFormat="1" x14ac:dyDescent="0.25"/>
    <row r="259" s="360" customFormat="1" x14ac:dyDescent="0.25"/>
    <row r="260" s="360" customFormat="1" x14ac:dyDescent="0.25"/>
    <row r="261" s="360" customFormat="1" x14ac:dyDescent="0.25"/>
    <row r="262" s="360" customFormat="1" x14ac:dyDescent="0.25"/>
    <row r="263" s="360" customFormat="1" x14ac:dyDescent="0.25"/>
    <row r="264" s="360" customFormat="1" x14ac:dyDescent="0.25"/>
    <row r="265" s="360" customFormat="1" x14ac:dyDescent="0.25"/>
    <row r="266" s="360" customFormat="1" x14ac:dyDescent="0.25"/>
    <row r="267" s="360" customFormat="1" x14ac:dyDescent="0.25"/>
    <row r="268" s="360" customFormat="1" x14ac:dyDescent="0.25"/>
    <row r="269" s="360" customFormat="1" x14ac:dyDescent="0.25"/>
    <row r="270" s="360" customFormat="1" x14ac:dyDescent="0.25"/>
    <row r="271" s="360" customFormat="1" x14ac:dyDescent="0.25"/>
    <row r="272" s="360" customFormat="1" x14ac:dyDescent="0.25"/>
    <row r="273" s="360" customFormat="1" x14ac:dyDescent="0.25"/>
    <row r="274" s="360" customFormat="1" x14ac:dyDescent="0.25"/>
    <row r="275" s="360" customFormat="1" x14ac:dyDescent="0.25"/>
    <row r="276" s="360" customFormat="1" x14ac:dyDescent="0.25"/>
    <row r="277" s="360" customFormat="1" x14ac:dyDescent="0.25"/>
    <row r="278" s="360" customFormat="1" x14ac:dyDescent="0.25"/>
    <row r="279" s="360" customFormat="1" x14ac:dyDescent="0.25"/>
    <row r="280" s="360" customFormat="1" x14ac:dyDescent="0.25"/>
    <row r="281" s="360" customFormat="1" x14ac:dyDescent="0.25"/>
    <row r="282" s="360" customFormat="1" x14ac:dyDescent="0.25"/>
    <row r="283" s="360" customFormat="1" x14ac:dyDescent="0.25"/>
    <row r="284" s="360" customFormat="1" x14ac:dyDescent="0.25"/>
    <row r="285" s="360" customFormat="1" x14ac:dyDescent="0.25"/>
    <row r="286" s="360" customFormat="1" x14ac:dyDescent="0.25"/>
    <row r="287" s="360" customFormat="1" x14ac:dyDescent="0.25"/>
    <row r="288" s="360" customFormat="1" x14ac:dyDescent="0.25"/>
    <row r="289" s="360" customFormat="1" x14ac:dyDescent="0.25"/>
    <row r="290" s="360" customFormat="1" x14ac:dyDescent="0.25"/>
    <row r="291" s="360" customFormat="1" x14ac:dyDescent="0.25"/>
    <row r="292" s="360" customFormat="1" x14ac:dyDescent="0.25"/>
    <row r="293" s="360" customFormat="1" x14ac:dyDescent="0.25"/>
    <row r="294" s="360" customFormat="1" x14ac:dyDescent="0.25"/>
    <row r="295" s="360" customFormat="1" x14ac:dyDescent="0.25"/>
    <row r="296" s="360" customFormat="1" x14ac:dyDescent="0.25"/>
    <row r="297" s="360" customFormat="1" x14ac:dyDescent="0.25"/>
    <row r="298" s="360" customFormat="1" x14ac:dyDescent="0.25"/>
    <row r="299" s="360" customFormat="1" x14ac:dyDescent="0.25"/>
    <row r="300" s="360" customFormat="1" x14ac:dyDescent="0.25"/>
    <row r="301" s="360" customFormat="1" x14ac:dyDescent="0.25"/>
    <row r="302" s="360" customFormat="1" x14ac:dyDescent="0.25"/>
    <row r="303" s="360" customFormat="1" x14ac:dyDescent="0.25"/>
    <row r="304" s="360" customFormat="1" x14ac:dyDescent="0.25"/>
    <row r="305" s="360" customFormat="1" x14ac:dyDescent="0.25"/>
    <row r="306" s="360" customFormat="1" x14ac:dyDescent="0.25"/>
    <row r="307" s="360" customFormat="1" x14ac:dyDescent="0.25"/>
    <row r="308" s="360" customFormat="1" x14ac:dyDescent="0.25"/>
    <row r="309" s="360" customFormat="1" x14ac:dyDescent="0.25"/>
    <row r="310" s="360" customFormat="1" x14ac:dyDescent="0.25"/>
    <row r="311" s="360" customFormat="1" x14ac:dyDescent="0.25"/>
    <row r="312" s="360" customFormat="1" x14ac:dyDescent="0.25"/>
    <row r="313" s="360" customFormat="1" x14ac:dyDescent="0.25"/>
    <row r="314" s="360" customFormat="1" x14ac:dyDescent="0.25"/>
    <row r="315" s="360" customFormat="1" x14ac:dyDescent="0.25"/>
    <row r="316" s="360" customFormat="1" x14ac:dyDescent="0.25"/>
    <row r="317" s="360" customFormat="1" x14ac:dyDescent="0.25"/>
    <row r="318" s="360" customFormat="1" x14ac:dyDescent="0.25"/>
    <row r="319" s="360" customFormat="1" x14ac:dyDescent="0.25"/>
    <row r="320" s="360" customFormat="1" x14ac:dyDescent="0.25"/>
    <row r="321" s="360" customFormat="1" x14ac:dyDescent="0.25"/>
    <row r="322" s="360" customFormat="1" x14ac:dyDescent="0.25"/>
    <row r="323" s="360" customFormat="1" x14ac:dyDescent="0.25"/>
    <row r="324" s="360" customFormat="1" x14ac:dyDescent="0.25"/>
    <row r="325" s="360" customFormat="1" x14ac:dyDescent="0.25"/>
    <row r="326" s="360" customFormat="1" x14ac:dyDescent="0.25"/>
    <row r="327" s="360" customFormat="1" x14ac:dyDescent="0.25"/>
    <row r="328" s="360" customFormat="1" x14ac:dyDescent="0.25"/>
    <row r="329" s="360" customFormat="1" x14ac:dyDescent="0.25"/>
    <row r="330" s="360" customFormat="1" x14ac:dyDescent="0.25"/>
    <row r="331" s="360" customFormat="1" x14ac:dyDescent="0.25"/>
    <row r="332" s="360" customFormat="1" x14ac:dyDescent="0.25"/>
    <row r="333" s="360" customFormat="1" x14ac:dyDescent="0.25"/>
    <row r="334" s="360" customFormat="1" x14ac:dyDescent="0.25"/>
    <row r="335" s="360" customFormat="1" x14ac:dyDescent="0.25"/>
    <row r="336" s="360" customFormat="1" x14ac:dyDescent="0.25"/>
    <row r="337" s="360" customFormat="1" x14ac:dyDescent="0.25"/>
    <row r="338" s="360" customFormat="1" x14ac:dyDescent="0.25"/>
    <row r="339" s="360" customFormat="1" x14ac:dyDescent="0.25"/>
    <row r="340" s="360" customFormat="1" x14ac:dyDescent="0.25"/>
    <row r="341" s="360" customFormat="1" x14ac:dyDescent="0.25"/>
    <row r="342" s="360" customFormat="1" x14ac:dyDescent="0.25"/>
  </sheetData>
  <sheetProtection formatColumns="0"/>
  <mergeCells count="13">
    <mergeCell ref="G1:I1"/>
    <mergeCell ref="B10:B13"/>
    <mergeCell ref="U11:U13"/>
    <mergeCell ref="CC11:CC13"/>
    <mergeCell ref="AO11:AO13"/>
    <mergeCell ref="BI11:BI13"/>
    <mergeCell ref="CS10:CS13"/>
    <mergeCell ref="BJ10:BJ13"/>
    <mergeCell ref="V10:V13"/>
    <mergeCell ref="AP10:AP13"/>
    <mergeCell ref="CD10:CD13"/>
    <mergeCell ref="CN10:CN13"/>
    <mergeCell ref="CI10:CI13"/>
  </mergeCells>
  <pageMargins left="0.25" right="0.25" top="0.5" bottom="0.75" header="0.3" footer="0.3"/>
  <pageSetup paperSize="9" scale="59" fitToHeight="0" orientation="portrait" r:id="rId1"/>
  <headerFooter alignWithMargins="0"/>
  <ignoredErrors>
    <ignoredError sqref="K16:K19 K21:K22 K24:K29 K31:K69 K71:K91 K93:K97 AY16 AY21 AY22 AY71:AY97 AY31:AY69 AY24:AY29 BS16:BS19 BS71:BS97 BS21:BS22 BS24:BS29 BS31:BS69" formulaRange="1"/>
    <ignoredError sqref="K20 K23 K30 K70 K92 AY70 AY30 AY23 BS70 BS20 BS23 BS30" formula="1" formulaRange="1"/>
    <ignoredError sqref="AY20"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pageSetUpPr fitToPage="1"/>
  </sheetPr>
  <dimension ref="A1:EA342"/>
  <sheetViews>
    <sheetView topLeftCell="CM30" zoomScale="80" zoomScaleNormal="80" workbookViewId="0">
      <selection activeCell="CT30" sqref="CT1:CW1048576"/>
    </sheetView>
  </sheetViews>
  <sheetFormatPr defaultColWidth="9.44140625" defaultRowHeight="13.2" x14ac:dyDescent="0.25"/>
  <cols>
    <col min="1" max="1" width="49.44140625" style="149" bestFit="1" customWidth="1"/>
    <col min="2" max="2" width="8.5546875" style="149" bestFit="1" customWidth="1"/>
    <col min="3" max="21" width="15.5546875" style="149" customWidth="1"/>
    <col min="22" max="22" width="7.44140625" style="149" bestFit="1" customWidth="1"/>
    <col min="23" max="41" width="15.5546875" style="149" customWidth="1"/>
    <col min="42" max="42" width="7.44140625" style="149" bestFit="1" customWidth="1"/>
    <col min="43" max="61" width="15.5546875" style="149" customWidth="1"/>
    <col min="62" max="62" width="7.44140625" style="149" bestFit="1" customWidth="1"/>
    <col min="63" max="81" width="15.5546875" style="149" customWidth="1"/>
    <col min="82" max="82" width="7.44140625" style="149" bestFit="1" customWidth="1"/>
    <col min="83" max="96" width="15.5546875" style="149" customWidth="1"/>
    <col min="97" max="97" width="18.5546875" style="149" customWidth="1"/>
    <col min="98" max="98" width="13.44140625" style="360" bestFit="1" customWidth="1"/>
    <col min="99" max="99" width="14.21875" style="360" customWidth="1"/>
    <col min="100" max="100" width="13.44140625" style="360" bestFit="1" customWidth="1"/>
    <col min="101" max="101" width="11.44140625" style="360" bestFit="1" customWidth="1"/>
    <col min="102" max="102" width="13.44140625" style="360" bestFit="1" customWidth="1"/>
    <col min="103" max="131" width="9.44140625" style="360"/>
    <col min="132" max="16384" width="9.44140625" style="149"/>
  </cols>
  <sheetData>
    <row r="1" spans="1:131" s="199" customFormat="1" ht="27" customHeight="1" x14ac:dyDescent="0.25">
      <c r="A1" s="18" t="s">
        <v>1341</v>
      </c>
      <c r="G1" s="893"/>
      <c r="H1" s="893"/>
      <c r="I1" s="893"/>
      <c r="J1" s="364"/>
      <c r="K1" s="364"/>
      <c r="L1" s="200"/>
      <c r="M1" s="200"/>
      <c r="N1" s="200"/>
      <c r="O1" s="200"/>
      <c r="P1" s="200"/>
      <c r="Q1" s="200"/>
      <c r="R1" s="200"/>
      <c r="S1" s="200"/>
      <c r="T1" s="364"/>
      <c r="U1" s="200"/>
      <c r="V1" s="200"/>
      <c r="W1" s="200"/>
      <c r="X1" s="200"/>
      <c r="Y1" s="200"/>
      <c r="Z1" s="200"/>
      <c r="AA1" s="200"/>
      <c r="AB1" s="200"/>
      <c r="AC1" s="200"/>
      <c r="AD1" s="200"/>
      <c r="AE1" s="364"/>
      <c r="AF1" s="200"/>
      <c r="AG1" s="200"/>
      <c r="AH1" s="200"/>
      <c r="AI1" s="200"/>
      <c r="AJ1" s="200"/>
      <c r="AK1" s="200"/>
      <c r="AL1" s="200"/>
      <c r="AM1" s="200"/>
      <c r="AN1" s="364"/>
      <c r="AO1" s="200"/>
      <c r="AP1" s="200"/>
      <c r="AQ1" s="200"/>
      <c r="AR1" s="200"/>
      <c r="AS1" s="200"/>
      <c r="AT1" s="200"/>
      <c r="AU1" s="200"/>
      <c r="AV1" s="200"/>
      <c r="AW1" s="200"/>
      <c r="AX1" s="200"/>
      <c r="AY1" s="364"/>
      <c r="AZ1" s="200"/>
      <c r="BA1" s="200"/>
      <c r="BB1" s="200"/>
      <c r="BC1" s="200"/>
      <c r="BD1" s="200"/>
      <c r="BE1" s="200"/>
      <c r="BF1" s="200"/>
      <c r="BG1" s="200"/>
      <c r="BH1" s="364"/>
      <c r="BI1" s="200"/>
      <c r="BJ1" s="200"/>
      <c r="BK1" s="200"/>
      <c r="BL1" s="200"/>
      <c r="BM1" s="200"/>
      <c r="BN1" s="200"/>
      <c r="BO1" s="200"/>
      <c r="BP1" s="200"/>
      <c r="BQ1" s="200"/>
      <c r="BR1" s="200"/>
      <c r="BS1" s="364"/>
      <c r="BT1" s="200"/>
      <c r="BU1" s="200"/>
      <c r="BV1" s="200"/>
      <c r="BW1" s="200"/>
      <c r="BX1" s="200"/>
      <c r="BY1" s="200"/>
      <c r="BZ1" s="200"/>
      <c r="CA1" s="200"/>
      <c r="CB1" s="364"/>
      <c r="CC1" s="200"/>
      <c r="CD1" s="200"/>
      <c r="CE1" s="200"/>
      <c r="CF1" s="200"/>
      <c r="CG1" s="200"/>
      <c r="CH1" s="200"/>
      <c r="CI1" s="200"/>
      <c r="CJ1" s="200"/>
      <c r="CK1" s="200"/>
      <c r="CL1" s="200"/>
      <c r="CM1" s="200"/>
      <c r="CN1" s="200"/>
      <c r="CO1" s="200"/>
      <c r="CP1" s="200"/>
      <c r="CQ1" s="200"/>
      <c r="CR1" s="200"/>
      <c r="CS1" s="200"/>
      <c r="CT1" s="200"/>
      <c r="CU1" s="200"/>
      <c r="CV1" s="200"/>
      <c r="CW1" s="200"/>
      <c r="CX1" s="200"/>
      <c r="CY1" s="200"/>
      <c r="CZ1" s="200"/>
      <c r="DA1" s="200"/>
      <c r="DB1" s="200"/>
      <c r="DC1" s="200"/>
      <c r="DD1" s="200"/>
      <c r="DE1" s="200"/>
      <c r="DF1" s="200"/>
      <c r="DG1" s="200"/>
      <c r="DH1" s="200"/>
      <c r="DI1" s="200"/>
      <c r="DJ1" s="200"/>
      <c r="DK1" s="200"/>
      <c r="DL1" s="200"/>
      <c r="DM1" s="200"/>
      <c r="DN1" s="200"/>
      <c r="DO1" s="200"/>
      <c r="DP1" s="200"/>
      <c r="DQ1" s="200"/>
      <c r="DR1" s="200"/>
      <c r="DS1" s="200"/>
      <c r="DT1" s="200"/>
      <c r="DU1" s="200"/>
      <c r="DV1" s="200"/>
      <c r="DW1" s="200"/>
      <c r="DX1" s="200"/>
      <c r="DY1" s="200"/>
      <c r="DZ1" s="200"/>
      <c r="EA1" s="200"/>
    </row>
    <row r="2" spans="1:131" s="199" customFormat="1" ht="15.6" x14ac:dyDescent="0.25">
      <c r="A2" s="152" t="s">
        <v>26</v>
      </c>
      <c r="B2" s="445" t="str">
        <f>'Schedule 3A_Income Statement'!B2</f>
        <v>Tufts Associated Health Plans, Inc. (TAHMO)</v>
      </c>
      <c r="C2" s="446"/>
      <c r="D2" s="446"/>
      <c r="E2" s="446"/>
      <c r="F2" s="447"/>
      <c r="G2" s="473"/>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200"/>
      <c r="DK2" s="200"/>
      <c r="DL2" s="200"/>
      <c r="DM2" s="200"/>
      <c r="DN2" s="200"/>
      <c r="DO2" s="200"/>
      <c r="DP2" s="200"/>
      <c r="DQ2" s="200"/>
      <c r="DR2" s="200"/>
      <c r="DS2" s="200"/>
      <c r="DT2" s="200"/>
      <c r="DU2" s="200"/>
      <c r="DV2" s="200"/>
      <c r="DW2" s="200"/>
      <c r="DX2" s="200"/>
      <c r="DY2" s="200"/>
      <c r="DZ2" s="200"/>
      <c r="EA2" s="200"/>
    </row>
    <row r="3" spans="1:131" s="199" customFormat="1" ht="15.6" x14ac:dyDescent="0.25">
      <c r="A3" s="152" t="s">
        <v>0</v>
      </c>
      <c r="B3" s="580" t="str">
        <f>'Schedule 3A_Income Statement'!B3</f>
        <v>01/01/2024 - 12/31/2024</v>
      </c>
      <c r="C3" s="581"/>
      <c r="D3" s="581"/>
      <c r="E3" s="581"/>
      <c r="F3" s="582"/>
      <c r="G3" s="473"/>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0"/>
      <c r="AM3" s="200"/>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200"/>
      <c r="BZ3" s="200"/>
      <c r="CA3" s="200"/>
      <c r="CB3" s="200"/>
      <c r="CC3" s="200"/>
      <c r="CD3" s="200"/>
      <c r="CE3" s="200"/>
      <c r="CF3" s="200"/>
      <c r="CG3" s="200"/>
      <c r="CH3" s="200"/>
      <c r="CI3" s="200"/>
      <c r="CJ3" s="200"/>
      <c r="CK3" s="200"/>
      <c r="CL3" s="200"/>
      <c r="CM3" s="200"/>
      <c r="CN3" s="200"/>
      <c r="CO3" s="200"/>
      <c r="CP3" s="200"/>
      <c r="CQ3" s="200"/>
      <c r="CR3" s="200"/>
      <c r="CS3" s="200"/>
      <c r="CT3" s="200"/>
      <c r="CU3" s="200"/>
      <c r="CV3" s="200"/>
      <c r="CW3" s="200"/>
      <c r="CX3" s="200"/>
      <c r="CY3" s="200"/>
      <c r="CZ3" s="200"/>
      <c r="DA3" s="200"/>
      <c r="DB3" s="200"/>
      <c r="DC3" s="200"/>
      <c r="DD3" s="200"/>
      <c r="DE3" s="200"/>
      <c r="DF3" s="200"/>
      <c r="DG3" s="200"/>
      <c r="DH3" s="200"/>
      <c r="DI3" s="200"/>
      <c r="DJ3" s="200"/>
      <c r="DK3" s="200"/>
      <c r="DL3" s="200"/>
      <c r="DM3" s="200"/>
      <c r="DN3" s="200"/>
      <c r="DO3" s="200"/>
      <c r="DP3" s="200"/>
      <c r="DQ3" s="200"/>
      <c r="DR3" s="200"/>
      <c r="DS3" s="200"/>
      <c r="DT3" s="200"/>
      <c r="DU3" s="200"/>
      <c r="DV3" s="200"/>
      <c r="DW3" s="200"/>
      <c r="DX3" s="200"/>
      <c r="DY3" s="200"/>
      <c r="DZ3" s="200"/>
      <c r="EA3" s="200"/>
    </row>
    <row r="4" spans="1:131" s="199" customFormat="1" ht="15.6" x14ac:dyDescent="0.25">
      <c r="A4" s="152" t="s">
        <v>27</v>
      </c>
      <c r="B4" s="449">
        <f>'Schedule 3A_Income Statement'!B4</f>
        <v>45657</v>
      </c>
      <c r="C4" s="446"/>
      <c r="D4" s="446"/>
      <c r="E4" s="446"/>
      <c r="F4" s="447"/>
      <c r="G4" s="473"/>
      <c r="H4" s="200"/>
      <c r="I4" s="200"/>
      <c r="J4" s="200"/>
      <c r="K4" s="200"/>
      <c r="L4" s="200"/>
      <c r="M4" s="200"/>
      <c r="N4" s="200"/>
      <c r="O4" s="200"/>
      <c r="P4" s="200"/>
      <c r="Q4" s="200"/>
      <c r="R4" s="200"/>
      <c r="S4" s="200"/>
      <c r="T4" s="200"/>
      <c r="U4" s="200"/>
      <c r="V4" s="200"/>
      <c r="W4" s="200"/>
      <c r="X4" s="200"/>
      <c r="Y4" s="200"/>
      <c r="Z4" s="200"/>
      <c r="AA4" s="200"/>
      <c r="AB4" s="200"/>
      <c r="AC4" s="200"/>
      <c r="AD4" s="200"/>
      <c r="AE4" s="200"/>
      <c r="AF4" s="200"/>
      <c r="AG4" s="200"/>
      <c r="AH4" s="200"/>
      <c r="AI4" s="200"/>
      <c r="AJ4" s="200"/>
      <c r="AK4" s="200"/>
      <c r="AL4" s="200"/>
      <c r="AM4" s="200"/>
      <c r="AN4" s="200"/>
      <c r="AO4" s="200"/>
      <c r="AP4" s="200"/>
      <c r="AQ4" s="200"/>
      <c r="AR4" s="200"/>
      <c r="AS4" s="200"/>
      <c r="AT4" s="200"/>
      <c r="AU4" s="200"/>
      <c r="AV4" s="200"/>
      <c r="AW4" s="200"/>
      <c r="AX4" s="200"/>
      <c r="AY4" s="200"/>
      <c r="AZ4" s="200"/>
      <c r="BA4" s="200"/>
      <c r="BB4" s="200"/>
      <c r="BC4" s="200"/>
      <c r="BD4" s="200"/>
      <c r="BE4" s="200"/>
      <c r="BF4" s="200"/>
      <c r="BG4" s="200"/>
      <c r="BH4" s="200"/>
      <c r="BI4" s="200"/>
      <c r="BJ4" s="200"/>
      <c r="BK4" s="200"/>
      <c r="BL4" s="200"/>
      <c r="BM4" s="200"/>
      <c r="BN4" s="200"/>
      <c r="BO4" s="200"/>
      <c r="BP4" s="200"/>
      <c r="BQ4" s="200"/>
      <c r="BR4" s="200"/>
      <c r="BS4" s="200"/>
      <c r="BT4" s="200"/>
      <c r="BU4" s="200"/>
      <c r="BV4" s="200"/>
      <c r="BW4" s="200"/>
      <c r="BX4" s="200"/>
      <c r="BY4" s="200"/>
      <c r="BZ4" s="200"/>
      <c r="CA4" s="200"/>
      <c r="CB4" s="200"/>
      <c r="CC4" s="200"/>
      <c r="CD4" s="200"/>
      <c r="CE4" s="200"/>
      <c r="CF4" s="200"/>
      <c r="CG4" s="200"/>
      <c r="CH4" s="200"/>
      <c r="CI4" s="200"/>
      <c r="CJ4" s="200"/>
      <c r="CK4" s="200"/>
      <c r="CL4" s="200"/>
      <c r="CM4" s="200"/>
      <c r="CN4" s="200"/>
      <c r="CO4" s="200"/>
      <c r="CP4" s="200"/>
      <c r="CQ4" s="200"/>
      <c r="CR4" s="200"/>
      <c r="CS4" s="200"/>
      <c r="CT4" s="200"/>
      <c r="CU4" s="200"/>
      <c r="CV4" s="200"/>
      <c r="CW4" s="200"/>
      <c r="CX4" s="200"/>
      <c r="CY4" s="200"/>
      <c r="CZ4" s="200"/>
      <c r="DA4" s="200"/>
      <c r="DB4" s="200"/>
      <c r="DC4" s="200"/>
      <c r="DD4" s="200"/>
      <c r="DE4" s="200"/>
      <c r="DF4" s="200"/>
      <c r="DG4" s="200"/>
      <c r="DH4" s="200"/>
      <c r="DI4" s="200"/>
      <c r="DJ4" s="200"/>
      <c r="DK4" s="200"/>
      <c r="DL4" s="200"/>
      <c r="DM4" s="200"/>
      <c r="DN4" s="200"/>
      <c r="DO4" s="200"/>
      <c r="DP4" s="200"/>
      <c r="DQ4" s="200"/>
      <c r="DR4" s="200"/>
      <c r="DS4" s="200"/>
      <c r="DT4" s="200"/>
      <c r="DU4" s="200"/>
      <c r="DV4" s="200"/>
      <c r="DW4" s="200"/>
      <c r="DX4" s="200"/>
      <c r="DY4" s="200"/>
      <c r="DZ4" s="200"/>
      <c r="EA4" s="200"/>
    </row>
    <row r="5" spans="1:131" s="199" customFormat="1" ht="15.6" x14ac:dyDescent="0.25">
      <c r="A5" s="152" t="s">
        <v>28</v>
      </c>
      <c r="B5" s="445" t="str">
        <f>'Schedule 3A_Income Statement'!B5</f>
        <v>Roshni Parikh</v>
      </c>
      <c r="C5" s="446"/>
      <c r="D5" s="446"/>
      <c r="E5" s="446"/>
      <c r="F5" s="447"/>
      <c r="G5" s="473"/>
      <c r="H5" s="200"/>
      <c r="I5" s="200"/>
      <c r="J5" s="200"/>
      <c r="K5" s="200"/>
      <c r="L5" s="200"/>
      <c r="M5" s="200"/>
      <c r="N5" s="200"/>
      <c r="O5" s="200"/>
      <c r="P5" s="200"/>
      <c r="Q5" s="200"/>
      <c r="R5" s="200"/>
      <c r="S5" s="200"/>
      <c r="T5" s="200"/>
      <c r="U5" s="200"/>
      <c r="V5" s="200"/>
      <c r="W5" s="200"/>
      <c r="X5" s="200"/>
      <c r="Y5" s="200"/>
      <c r="Z5" s="200"/>
      <c r="AA5" s="200"/>
      <c r="AB5" s="200"/>
      <c r="AC5" s="200"/>
      <c r="AD5" s="200"/>
      <c r="AE5" s="200"/>
      <c r="AF5" s="200"/>
      <c r="AG5" s="200"/>
      <c r="AH5" s="200"/>
      <c r="AI5" s="200"/>
      <c r="AJ5" s="200"/>
      <c r="AK5" s="200"/>
      <c r="AL5" s="200"/>
      <c r="AM5" s="200"/>
      <c r="AN5" s="200"/>
      <c r="AO5" s="200"/>
      <c r="AP5" s="200"/>
      <c r="AQ5" s="200"/>
      <c r="AR5" s="200"/>
      <c r="AS5" s="200"/>
      <c r="AT5" s="200"/>
      <c r="AU5" s="200"/>
      <c r="AV5" s="200"/>
      <c r="AW5" s="200"/>
      <c r="AX5" s="200"/>
      <c r="AY5" s="200"/>
      <c r="AZ5" s="200"/>
      <c r="BA5" s="200"/>
      <c r="BB5" s="200"/>
      <c r="BC5" s="200"/>
      <c r="BD5" s="200"/>
      <c r="BE5" s="200"/>
      <c r="BF5" s="200"/>
      <c r="BG5" s="200"/>
      <c r="BH5" s="200"/>
      <c r="BI5" s="200"/>
      <c r="BJ5" s="200"/>
      <c r="BK5" s="200"/>
      <c r="BL5" s="200"/>
      <c r="BM5" s="200"/>
      <c r="BN5" s="200"/>
      <c r="BO5" s="200"/>
      <c r="BP5" s="200"/>
      <c r="BQ5" s="200"/>
      <c r="BR5" s="200"/>
      <c r="BS5" s="200"/>
      <c r="BT5" s="200"/>
      <c r="BU5" s="200"/>
      <c r="BV5" s="200"/>
      <c r="BW5" s="200"/>
      <c r="BX5" s="200"/>
      <c r="BY5" s="200"/>
      <c r="BZ5" s="200"/>
      <c r="CA5" s="200"/>
      <c r="CB5" s="200"/>
      <c r="CC5" s="200"/>
      <c r="CD5" s="200"/>
      <c r="CE5" s="200"/>
      <c r="CF5" s="200"/>
      <c r="CG5" s="200"/>
      <c r="CH5" s="200"/>
      <c r="CI5" s="200"/>
      <c r="CJ5" s="200"/>
      <c r="CK5" s="200"/>
      <c r="CL5" s="200"/>
      <c r="CM5" s="200"/>
      <c r="CN5" s="200"/>
      <c r="CO5" s="200"/>
      <c r="CP5" s="200"/>
      <c r="CQ5" s="200"/>
      <c r="CR5" s="200"/>
      <c r="CS5" s="200"/>
      <c r="CT5" s="200"/>
      <c r="CU5" s="200"/>
      <c r="CV5" s="200"/>
      <c r="CW5" s="200"/>
      <c r="CX5" s="200"/>
      <c r="CY5" s="200"/>
      <c r="CZ5" s="200"/>
      <c r="DA5" s="200"/>
      <c r="DB5" s="200"/>
      <c r="DC5" s="200"/>
      <c r="DD5" s="200"/>
      <c r="DE5" s="200"/>
      <c r="DF5" s="200"/>
      <c r="DG5" s="200"/>
      <c r="DH5" s="200"/>
      <c r="DI5" s="200"/>
      <c r="DJ5" s="200"/>
      <c r="DK5" s="200"/>
      <c r="DL5" s="200"/>
      <c r="DM5" s="200"/>
      <c r="DN5" s="200"/>
      <c r="DO5" s="200"/>
      <c r="DP5" s="200"/>
      <c r="DQ5" s="200"/>
      <c r="DR5" s="200"/>
      <c r="DS5" s="200"/>
      <c r="DT5" s="200"/>
      <c r="DU5" s="200"/>
      <c r="DV5" s="200"/>
      <c r="DW5" s="200"/>
      <c r="DX5" s="200"/>
      <c r="DY5" s="200"/>
      <c r="DZ5" s="200"/>
      <c r="EA5" s="200"/>
    </row>
    <row r="6" spans="1:131" s="199" customFormat="1" ht="15.6" x14ac:dyDescent="0.25">
      <c r="A6" s="152" t="s">
        <v>29</v>
      </c>
      <c r="B6" s="449">
        <f>'Schedule 3A_Income Statement'!B6</f>
        <v>45657</v>
      </c>
      <c r="C6" s="446"/>
      <c r="D6" s="446"/>
      <c r="E6" s="446"/>
      <c r="F6" s="447"/>
      <c r="G6" s="473"/>
      <c r="H6" s="200"/>
      <c r="I6" s="200"/>
      <c r="J6" s="200"/>
      <c r="K6" s="200"/>
      <c r="L6" s="200"/>
      <c r="M6" s="200"/>
      <c r="N6" s="200"/>
      <c r="O6" s="200"/>
      <c r="P6" s="200"/>
      <c r="Q6" s="200"/>
      <c r="R6" s="200"/>
      <c r="S6" s="200"/>
      <c r="T6" s="200"/>
      <c r="U6" s="200"/>
      <c r="V6" s="200"/>
      <c r="W6" s="200"/>
      <c r="X6" s="200"/>
      <c r="Y6" s="200"/>
      <c r="Z6" s="200"/>
      <c r="AA6" s="200"/>
      <c r="AB6" s="200"/>
      <c r="AC6" s="200"/>
      <c r="AD6" s="200"/>
      <c r="AE6" s="200"/>
      <c r="AF6" s="200"/>
      <c r="AG6" s="200"/>
      <c r="AH6" s="200"/>
      <c r="AI6" s="200"/>
      <c r="AJ6" s="200"/>
      <c r="AK6" s="200"/>
      <c r="AL6" s="200"/>
      <c r="AM6" s="200"/>
      <c r="AN6" s="200"/>
      <c r="AO6" s="200"/>
      <c r="AP6" s="200"/>
      <c r="AQ6" s="200"/>
      <c r="AR6" s="200"/>
      <c r="AS6" s="200"/>
      <c r="AT6" s="200"/>
      <c r="AU6" s="200"/>
      <c r="AV6" s="200"/>
      <c r="AW6" s="200"/>
      <c r="AX6" s="200"/>
      <c r="AY6" s="200"/>
      <c r="AZ6" s="200"/>
      <c r="BA6" s="200"/>
      <c r="BB6" s="200"/>
      <c r="BC6" s="200"/>
      <c r="BD6" s="200"/>
      <c r="BE6" s="200"/>
      <c r="BF6" s="200"/>
      <c r="BG6" s="200"/>
      <c r="BH6" s="200"/>
      <c r="BI6" s="200"/>
      <c r="BJ6" s="200"/>
      <c r="BK6" s="200"/>
      <c r="BL6" s="200"/>
      <c r="BM6" s="200"/>
      <c r="BN6" s="200"/>
      <c r="BO6" s="200"/>
      <c r="BP6" s="200"/>
      <c r="BQ6" s="200"/>
      <c r="BR6" s="200"/>
      <c r="BS6" s="200"/>
      <c r="BT6" s="200"/>
      <c r="BU6" s="200"/>
      <c r="BV6" s="200"/>
      <c r="BW6" s="200"/>
      <c r="BX6" s="200"/>
      <c r="BY6" s="200"/>
      <c r="BZ6" s="200"/>
      <c r="CA6" s="200"/>
      <c r="CB6" s="200"/>
      <c r="CC6" s="200"/>
      <c r="CD6" s="200"/>
      <c r="CE6" s="200"/>
      <c r="CF6" s="200"/>
      <c r="CG6" s="200"/>
      <c r="CH6" s="200"/>
      <c r="CI6" s="200"/>
      <c r="CJ6" s="200"/>
      <c r="CK6" s="200"/>
      <c r="CL6" s="200"/>
      <c r="CM6" s="200"/>
      <c r="CN6" s="200"/>
      <c r="CO6" s="200"/>
      <c r="CP6" s="200"/>
      <c r="CQ6" s="200"/>
      <c r="CR6" s="200"/>
      <c r="CS6" s="200"/>
      <c r="CT6" s="200"/>
      <c r="CU6" s="200"/>
      <c r="CV6" s="200"/>
      <c r="CW6" s="200"/>
      <c r="CX6" s="200"/>
      <c r="CY6" s="200"/>
      <c r="CZ6" s="200"/>
      <c r="DA6" s="200"/>
      <c r="DB6" s="200"/>
      <c r="DC6" s="200"/>
      <c r="DD6" s="200"/>
      <c r="DE6" s="200"/>
      <c r="DF6" s="200"/>
      <c r="DG6" s="200"/>
      <c r="DH6" s="200"/>
      <c r="DI6" s="200"/>
      <c r="DJ6" s="200"/>
      <c r="DK6" s="200"/>
      <c r="DL6" s="200"/>
      <c r="DM6" s="200"/>
      <c r="DN6" s="200"/>
      <c r="DO6" s="200"/>
      <c r="DP6" s="200"/>
      <c r="DQ6" s="200"/>
      <c r="DR6" s="200"/>
      <c r="DS6" s="200"/>
      <c r="DT6" s="200"/>
      <c r="DU6" s="200"/>
      <c r="DV6" s="200"/>
      <c r="DW6" s="200"/>
      <c r="DX6" s="200"/>
      <c r="DY6" s="200"/>
      <c r="DZ6" s="200"/>
      <c r="EA6" s="200"/>
    </row>
    <row r="7" spans="1:131" s="199" customFormat="1" x14ac:dyDescent="0.25">
      <c r="A7" s="256" t="s">
        <v>543</v>
      </c>
      <c r="B7" s="201"/>
      <c r="G7" s="200"/>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0"/>
      <c r="AL7" s="200"/>
      <c r="AM7" s="200"/>
      <c r="AN7" s="200"/>
      <c r="AO7" s="200"/>
      <c r="AP7" s="200"/>
      <c r="AQ7" s="200"/>
      <c r="AR7" s="200"/>
      <c r="AS7" s="200"/>
      <c r="AT7" s="200"/>
      <c r="AU7" s="200"/>
      <c r="AV7" s="200"/>
      <c r="AW7" s="200"/>
      <c r="AX7" s="200"/>
      <c r="AY7" s="200"/>
      <c r="AZ7" s="200"/>
      <c r="BA7" s="200"/>
      <c r="BB7" s="200"/>
      <c r="BC7" s="200"/>
      <c r="BD7" s="200"/>
      <c r="BE7" s="200"/>
      <c r="BF7" s="200"/>
      <c r="BG7" s="200"/>
      <c r="BH7" s="200"/>
      <c r="BI7" s="200"/>
      <c r="BJ7" s="200"/>
      <c r="BK7" s="200"/>
      <c r="BL7" s="200"/>
      <c r="BM7" s="200"/>
      <c r="BN7" s="200"/>
      <c r="BO7" s="200"/>
      <c r="BP7" s="200"/>
      <c r="BQ7" s="200"/>
      <c r="BR7" s="200"/>
      <c r="BS7" s="200"/>
      <c r="BT7" s="200"/>
      <c r="BU7" s="200"/>
      <c r="BV7" s="200"/>
      <c r="BW7" s="200"/>
      <c r="BX7" s="200"/>
      <c r="BY7" s="200"/>
      <c r="BZ7" s="200"/>
      <c r="CA7" s="200"/>
      <c r="CB7" s="200"/>
      <c r="CC7" s="200"/>
      <c r="CD7" s="200"/>
      <c r="CE7" s="200"/>
      <c r="CF7" s="200"/>
      <c r="CG7" s="200"/>
      <c r="CH7" s="200"/>
      <c r="CI7" s="200"/>
      <c r="CJ7" s="200"/>
      <c r="CK7" s="200"/>
      <c r="CL7" s="200"/>
      <c r="CM7" s="200"/>
      <c r="CN7" s="200"/>
      <c r="CO7" s="200"/>
      <c r="CP7" s="200"/>
      <c r="CQ7" s="200"/>
      <c r="CR7" s="200"/>
      <c r="CS7" s="200"/>
      <c r="CT7" s="200"/>
      <c r="CU7" s="200"/>
      <c r="CV7" s="200"/>
      <c r="CW7" s="200"/>
      <c r="CX7" s="200"/>
      <c r="CY7" s="200"/>
      <c r="CZ7" s="200"/>
      <c r="DA7" s="200"/>
      <c r="DB7" s="200"/>
      <c r="DC7" s="200"/>
      <c r="DD7" s="200"/>
      <c r="DE7" s="200"/>
      <c r="DF7" s="200"/>
      <c r="DG7" s="200"/>
      <c r="DH7" s="200"/>
      <c r="DI7" s="200"/>
      <c r="DJ7" s="200"/>
      <c r="DK7" s="200"/>
      <c r="DL7" s="200"/>
      <c r="DM7" s="200"/>
      <c r="DN7" s="200"/>
      <c r="DO7" s="200"/>
      <c r="DP7" s="200"/>
      <c r="DQ7" s="200"/>
      <c r="DR7" s="200"/>
      <c r="DS7" s="200"/>
      <c r="DT7" s="200"/>
      <c r="DU7" s="200"/>
      <c r="DV7" s="200"/>
      <c r="DW7" s="200"/>
      <c r="DX7" s="200"/>
      <c r="DY7" s="200"/>
      <c r="DZ7" s="200"/>
      <c r="EA7" s="200"/>
    </row>
    <row r="8" spans="1:131" s="199" customFormat="1" x14ac:dyDescent="0.25">
      <c r="A8" s="256"/>
      <c r="B8" s="201"/>
      <c r="G8" s="200"/>
      <c r="H8" s="200"/>
      <c r="I8" s="200"/>
      <c r="J8" s="200"/>
      <c r="K8" s="200"/>
      <c r="L8" s="200"/>
      <c r="M8" s="200"/>
      <c r="N8" s="200"/>
      <c r="O8" s="200"/>
      <c r="P8" s="200"/>
      <c r="Q8" s="200"/>
      <c r="R8" s="200"/>
      <c r="S8" s="200"/>
      <c r="T8" s="200"/>
      <c r="U8" s="200"/>
      <c r="V8" s="387"/>
      <c r="W8" s="200"/>
      <c r="X8" s="200"/>
      <c r="Y8" s="200"/>
      <c r="Z8" s="200"/>
      <c r="AA8" s="200"/>
      <c r="AB8" s="200"/>
      <c r="AC8" s="200"/>
      <c r="AD8" s="200"/>
      <c r="AE8" s="200"/>
      <c r="AF8" s="200"/>
      <c r="AG8" s="200"/>
      <c r="AH8" s="200"/>
      <c r="AI8" s="200"/>
      <c r="AJ8" s="200"/>
      <c r="AK8" s="200"/>
      <c r="AL8" s="200"/>
      <c r="AM8" s="200"/>
      <c r="AN8" s="200"/>
      <c r="AO8" s="200"/>
      <c r="AP8" s="387"/>
      <c r="AQ8" s="200"/>
      <c r="AR8" s="200"/>
      <c r="AS8" s="200"/>
      <c r="AT8" s="200"/>
      <c r="AU8" s="200"/>
      <c r="AV8" s="200"/>
      <c r="AW8" s="200"/>
      <c r="AX8" s="200"/>
      <c r="AY8" s="200"/>
      <c r="AZ8" s="200"/>
      <c r="BA8" s="200"/>
      <c r="BB8" s="200"/>
      <c r="BC8" s="200"/>
      <c r="BD8" s="200"/>
      <c r="BE8" s="200"/>
      <c r="BF8" s="200"/>
      <c r="BG8" s="200"/>
      <c r="BH8" s="200"/>
      <c r="BI8" s="200"/>
      <c r="BJ8" s="200"/>
      <c r="BK8" s="200"/>
      <c r="BL8" s="200"/>
      <c r="BM8" s="200"/>
      <c r="BN8" s="200"/>
      <c r="BO8" s="200"/>
      <c r="BP8" s="200"/>
      <c r="BQ8" s="200"/>
      <c r="BR8" s="200"/>
      <c r="BS8" s="200"/>
      <c r="BT8" s="200"/>
      <c r="BU8" s="200"/>
      <c r="BV8" s="200"/>
      <c r="BW8" s="200"/>
      <c r="BX8" s="200"/>
      <c r="BY8" s="200"/>
      <c r="BZ8" s="200"/>
      <c r="CA8" s="200"/>
      <c r="CB8" s="200"/>
      <c r="CC8" s="200"/>
      <c r="CD8" s="200"/>
      <c r="CE8" s="200"/>
      <c r="CF8" s="200"/>
      <c r="CG8" s="200"/>
      <c r="CH8" s="200"/>
      <c r="CI8" s="200"/>
      <c r="CJ8" s="200"/>
      <c r="CK8" s="200"/>
      <c r="CL8" s="200"/>
      <c r="CM8" s="200"/>
      <c r="CN8" s="200"/>
      <c r="CO8" s="200"/>
      <c r="CP8" s="200"/>
      <c r="CQ8" s="200"/>
      <c r="CR8" s="200"/>
      <c r="CS8" s="200"/>
      <c r="CT8" s="200"/>
      <c r="CU8" s="200"/>
      <c r="CV8" s="200"/>
      <c r="CW8" s="200"/>
      <c r="CX8" s="200"/>
      <c r="CY8" s="200"/>
      <c r="CZ8" s="200"/>
      <c r="DA8" s="200"/>
      <c r="DB8" s="200"/>
      <c r="DC8" s="200"/>
      <c r="DD8" s="200"/>
      <c r="DE8" s="200"/>
      <c r="DF8" s="200"/>
      <c r="DG8" s="200"/>
      <c r="DH8" s="200"/>
      <c r="DI8" s="200"/>
      <c r="DJ8" s="200"/>
      <c r="DK8" s="200"/>
      <c r="DL8" s="200"/>
      <c r="DM8" s="200"/>
      <c r="DN8" s="200"/>
      <c r="DO8" s="200"/>
      <c r="DP8" s="200"/>
      <c r="DQ8" s="200"/>
      <c r="DR8" s="200"/>
      <c r="DS8" s="200"/>
      <c r="DT8" s="200"/>
      <c r="DU8" s="200"/>
      <c r="DV8" s="200"/>
      <c r="DW8" s="200"/>
      <c r="DX8" s="200"/>
      <c r="DY8" s="200"/>
      <c r="DZ8" s="200"/>
      <c r="EA8" s="200"/>
    </row>
    <row r="9" spans="1:131" s="199" customFormat="1" x14ac:dyDescent="0.25">
      <c r="A9" s="256"/>
      <c r="B9" s="201"/>
      <c r="G9" s="200"/>
      <c r="H9" s="200"/>
      <c r="I9" s="200"/>
      <c r="J9" s="200"/>
      <c r="K9" s="200"/>
      <c r="L9" s="200"/>
      <c r="M9" s="200"/>
      <c r="N9" s="200"/>
      <c r="O9" s="200"/>
      <c r="P9" s="200"/>
      <c r="Q9" s="200"/>
      <c r="R9" s="200"/>
      <c r="S9" s="200"/>
      <c r="T9" s="200"/>
      <c r="U9" s="200"/>
      <c r="V9" s="387"/>
      <c r="W9" s="200"/>
      <c r="X9" s="200"/>
      <c r="Y9" s="200"/>
      <c r="Z9" s="200"/>
      <c r="AA9" s="200"/>
      <c r="AB9" s="200"/>
      <c r="AC9" s="200"/>
      <c r="AD9" s="200"/>
      <c r="AE9" s="200"/>
      <c r="AF9" s="200"/>
      <c r="AG9" s="200"/>
      <c r="AH9" s="200"/>
      <c r="AI9" s="200"/>
      <c r="AJ9" s="200"/>
      <c r="AK9" s="200"/>
      <c r="AL9" s="200"/>
      <c r="AM9" s="200"/>
      <c r="AN9" s="200"/>
      <c r="AO9" s="200"/>
      <c r="AP9" s="387"/>
      <c r="AQ9" s="200"/>
      <c r="AR9" s="200"/>
      <c r="AS9" s="200"/>
      <c r="AT9" s="200"/>
      <c r="AU9" s="200"/>
      <c r="AV9" s="200"/>
      <c r="AW9" s="200"/>
      <c r="AX9" s="200"/>
      <c r="AY9" s="200"/>
      <c r="AZ9" s="200"/>
      <c r="BA9" s="200"/>
      <c r="BB9" s="200"/>
      <c r="BC9" s="200"/>
      <c r="BD9" s="200"/>
      <c r="BE9" s="200"/>
      <c r="BF9" s="200"/>
      <c r="BG9" s="200"/>
      <c r="BH9" s="200"/>
      <c r="BI9" s="200"/>
      <c r="BJ9" s="200"/>
      <c r="BK9" s="200"/>
      <c r="BL9" s="200"/>
      <c r="BM9" s="200"/>
      <c r="BN9" s="200"/>
      <c r="BO9" s="200"/>
      <c r="BP9" s="200"/>
      <c r="BQ9" s="200"/>
      <c r="BR9" s="200"/>
      <c r="BS9" s="200"/>
      <c r="BT9" s="200"/>
      <c r="BU9" s="200"/>
      <c r="BV9" s="200"/>
      <c r="BW9" s="200"/>
      <c r="BX9" s="200"/>
      <c r="BY9" s="200"/>
      <c r="BZ9" s="200"/>
      <c r="CA9" s="200"/>
      <c r="CB9" s="200"/>
      <c r="CC9" s="200"/>
      <c r="CD9" s="200"/>
      <c r="CE9" s="200"/>
      <c r="CF9" s="200"/>
      <c r="CG9" s="200"/>
      <c r="CH9" s="200"/>
      <c r="CI9" s="200"/>
      <c r="CJ9" s="200"/>
      <c r="CK9" s="200"/>
      <c r="CL9" s="200"/>
      <c r="CM9" s="200"/>
      <c r="CN9" s="200"/>
      <c r="CO9" s="200"/>
      <c r="CP9" s="200"/>
      <c r="CQ9" s="200"/>
      <c r="CR9" s="200"/>
      <c r="CS9" s="200"/>
      <c r="CT9" s="200"/>
      <c r="CU9" s="200"/>
      <c r="CV9" s="200"/>
      <c r="CW9" s="200"/>
      <c r="CX9" s="200"/>
      <c r="CY9" s="200"/>
      <c r="CZ9" s="200"/>
      <c r="DA9" s="200"/>
      <c r="DB9" s="200"/>
      <c r="DC9" s="200"/>
      <c r="DD9" s="200"/>
      <c r="DE9" s="200"/>
      <c r="DF9" s="200"/>
      <c r="DG9" s="200"/>
      <c r="DH9" s="200"/>
      <c r="DI9" s="200"/>
      <c r="DJ9" s="200"/>
      <c r="DK9" s="200"/>
      <c r="DL9" s="200"/>
      <c r="DM9" s="200"/>
      <c r="DN9" s="200"/>
      <c r="DO9" s="200"/>
      <c r="DP9" s="200"/>
      <c r="DQ9" s="200"/>
      <c r="DR9" s="200"/>
      <c r="DS9" s="200"/>
      <c r="DT9" s="200"/>
      <c r="DU9" s="200"/>
      <c r="DV9" s="200"/>
      <c r="DW9" s="200"/>
      <c r="DX9" s="200"/>
      <c r="DY9" s="200"/>
      <c r="DZ9" s="200"/>
      <c r="EA9" s="200"/>
    </row>
    <row r="10" spans="1:131" s="199" customFormat="1" ht="15.75" customHeight="1" x14ac:dyDescent="0.25">
      <c r="A10" s="452"/>
      <c r="B10" s="885" t="s">
        <v>269</v>
      </c>
      <c r="C10" s="453" t="s">
        <v>273</v>
      </c>
      <c r="D10" s="454"/>
      <c r="E10" s="454"/>
      <c r="F10" s="454"/>
      <c r="G10" s="454"/>
      <c r="H10" s="454"/>
      <c r="I10" s="454"/>
      <c r="J10" s="454"/>
      <c r="K10" s="454"/>
      <c r="L10" s="454"/>
      <c r="M10" s="454"/>
      <c r="N10" s="454"/>
      <c r="O10" s="454"/>
      <c r="P10" s="454"/>
      <c r="Q10" s="454"/>
      <c r="R10" s="454"/>
      <c r="S10" s="454"/>
      <c r="T10" s="454"/>
      <c r="U10" s="455"/>
      <c r="V10" s="885" t="s">
        <v>269</v>
      </c>
      <c r="W10" s="453" t="s">
        <v>1530</v>
      </c>
      <c r="X10" s="454"/>
      <c r="Y10" s="454"/>
      <c r="Z10" s="454"/>
      <c r="AA10" s="454"/>
      <c r="AB10" s="454"/>
      <c r="AC10" s="454"/>
      <c r="AD10" s="454"/>
      <c r="AE10" s="454"/>
      <c r="AF10" s="454"/>
      <c r="AG10" s="454"/>
      <c r="AH10" s="454"/>
      <c r="AI10" s="454"/>
      <c r="AJ10" s="454"/>
      <c r="AK10" s="454"/>
      <c r="AL10" s="454"/>
      <c r="AM10" s="454"/>
      <c r="AN10" s="454"/>
      <c r="AO10" s="455"/>
      <c r="AP10" s="885" t="s">
        <v>269</v>
      </c>
      <c r="AQ10" s="453" t="s">
        <v>271</v>
      </c>
      <c r="AR10" s="454"/>
      <c r="AS10" s="454"/>
      <c r="AT10" s="454"/>
      <c r="AU10" s="454"/>
      <c r="AV10" s="454"/>
      <c r="AW10" s="454"/>
      <c r="AX10" s="454"/>
      <c r="AY10" s="454"/>
      <c r="AZ10" s="454"/>
      <c r="BA10" s="454"/>
      <c r="BB10" s="454"/>
      <c r="BC10" s="454"/>
      <c r="BD10" s="454"/>
      <c r="BE10" s="454"/>
      <c r="BF10" s="454"/>
      <c r="BG10" s="454"/>
      <c r="BH10" s="454"/>
      <c r="BI10" s="454"/>
      <c r="BJ10" s="885" t="s">
        <v>269</v>
      </c>
      <c r="BK10" s="454" t="s">
        <v>270</v>
      </c>
      <c r="BL10" s="454"/>
      <c r="BM10" s="454"/>
      <c r="BN10" s="454"/>
      <c r="BO10" s="454"/>
      <c r="BP10" s="454"/>
      <c r="BQ10" s="454"/>
      <c r="BR10" s="454"/>
      <c r="BS10" s="454"/>
      <c r="BT10" s="454"/>
      <c r="BU10" s="454"/>
      <c r="BV10" s="454"/>
      <c r="BW10" s="454"/>
      <c r="BX10" s="454"/>
      <c r="BY10" s="454"/>
      <c r="BZ10" s="454"/>
      <c r="CA10" s="454"/>
      <c r="CB10" s="454"/>
      <c r="CC10" s="454"/>
      <c r="CD10" s="885" t="s">
        <v>269</v>
      </c>
      <c r="CE10" s="757"/>
      <c r="CF10" s="758"/>
      <c r="CG10" s="758"/>
      <c r="CH10" s="759"/>
      <c r="CI10" s="890" t="s">
        <v>268</v>
      </c>
      <c r="CJ10" s="757"/>
      <c r="CK10" s="758"/>
      <c r="CL10" s="758"/>
      <c r="CM10" s="759"/>
      <c r="CN10" s="890" t="s">
        <v>268</v>
      </c>
      <c r="CO10" s="757"/>
      <c r="CP10" s="758"/>
      <c r="CQ10" s="758"/>
      <c r="CR10" s="759"/>
      <c r="CS10" s="890" t="s">
        <v>268</v>
      </c>
      <c r="CT10" s="200"/>
      <c r="CU10" s="200"/>
      <c r="CV10" s="200"/>
      <c r="CW10" s="200"/>
      <c r="CX10" s="200"/>
      <c r="CY10" s="200"/>
      <c r="CZ10" s="200"/>
      <c r="DA10" s="200"/>
      <c r="DB10" s="200"/>
      <c r="DC10" s="200"/>
      <c r="DD10" s="200"/>
      <c r="DE10" s="200"/>
      <c r="DF10" s="200"/>
      <c r="DG10" s="200"/>
      <c r="DH10" s="200"/>
      <c r="DI10" s="200"/>
      <c r="DJ10" s="200"/>
      <c r="DK10" s="200"/>
      <c r="DL10" s="200"/>
      <c r="DM10" s="200"/>
      <c r="DN10" s="200"/>
      <c r="DO10" s="200"/>
      <c r="DP10" s="200"/>
      <c r="DQ10" s="200"/>
      <c r="DR10" s="200"/>
      <c r="DS10" s="200"/>
      <c r="DT10" s="200"/>
      <c r="DU10" s="200"/>
      <c r="DV10" s="200"/>
      <c r="DW10" s="200"/>
      <c r="DX10" s="200"/>
      <c r="DY10" s="200"/>
      <c r="DZ10" s="200"/>
      <c r="EA10" s="200"/>
    </row>
    <row r="11" spans="1:131" s="199" customFormat="1" ht="32.1" customHeight="1" x14ac:dyDescent="0.25">
      <c r="A11" s="151" t="s">
        <v>267</v>
      </c>
      <c r="B11" s="885"/>
      <c r="C11" s="453" t="s">
        <v>266</v>
      </c>
      <c r="D11" s="454"/>
      <c r="E11" s="454"/>
      <c r="F11" s="454"/>
      <c r="G11" s="454"/>
      <c r="H11" s="454"/>
      <c r="I11" s="454"/>
      <c r="J11" s="454"/>
      <c r="K11" s="456"/>
      <c r="L11" s="457" t="s">
        <v>265</v>
      </c>
      <c r="M11" s="454"/>
      <c r="N11" s="454"/>
      <c r="O11" s="454"/>
      <c r="P11" s="454"/>
      <c r="Q11" s="454"/>
      <c r="R11" s="454"/>
      <c r="S11" s="454"/>
      <c r="T11" s="454"/>
      <c r="U11" s="886" t="s">
        <v>264</v>
      </c>
      <c r="V11" s="885"/>
      <c r="W11" s="454" t="s">
        <v>266</v>
      </c>
      <c r="X11" s="454"/>
      <c r="Y11" s="454"/>
      <c r="Z11" s="454"/>
      <c r="AA11" s="454"/>
      <c r="AB11" s="454"/>
      <c r="AC11" s="454"/>
      <c r="AD11" s="454"/>
      <c r="AE11" s="456"/>
      <c r="AF11" s="457" t="s">
        <v>265</v>
      </c>
      <c r="AG11" s="454"/>
      <c r="AH11" s="454"/>
      <c r="AI11" s="454"/>
      <c r="AJ11" s="454"/>
      <c r="AK11" s="454"/>
      <c r="AL11" s="454"/>
      <c r="AM11" s="454"/>
      <c r="AN11" s="454"/>
      <c r="AO11" s="886" t="s">
        <v>264</v>
      </c>
      <c r="AP11" s="885"/>
      <c r="AQ11" s="453" t="s">
        <v>266</v>
      </c>
      <c r="AR11" s="454"/>
      <c r="AS11" s="454"/>
      <c r="AT11" s="454"/>
      <c r="AU11" s="454"/>
      <c r="AV11" s="454"/>
      <c r="AW11" s="454"/>
      <c r="AX11" s="454"/>
      <c r="AY11" s="456"/>
      <c r="AZ11" s="457" t="s">
        <v>265</v>
      </c>
      <c r="BA11" s="454"/>
      <c r="BB11" s="454"/>
      <c r="BC11" s="454"/>
      <c r="BD11" s="454"/>
      <c r="BE11" s="454"/>
      <c r="BF11" s="454"/>
      <c r="BG11" s="454"/>
      <c r="BH11" s="454"/>
      <c r="BI11" s="894" t="s">
        <v>264</v>
      </c>
      <c r="BJ11" s="885"/>
      <c r="BK11" s="454" t="s">
        <v>266</v>
      </c>
      <c r="BL11" s="454"/>
      <c r="BM11" s="454"/>
      <c r="BN11" s="454"/>
      <c r="BO11" s="454"/>
      <c r="BP11" s="454"/>
      <c r="BQ11" s="454"/>
      <c r="BR11" s="454"/>
      <c r="BS11" s="456"/>
      <c r="BT11" s="457" t="s">
        <v>265</v>
      </c>
      <c r="BU11" s="454"/>
      <c r="BV11" s="454"/>
      <c r="BW11" s="454"/>
      <c r="BX11" s="454"/>
      <c r="BY11" s="454"/>
      <c r="BZ11" s="454"/>
      <c r="CA11" s="454"/>
      <c r="CB11" s="454"/>
      <c r="CC11" s="894" t="s">
        <v>264</v>
      </c>
      <c r="CD11" s="885"/>
      <c r="CE11" s="756" t="s">
        <v>266</v>
      </c>
      <c r="CF11" s="756"/>
      <c r="CG11" s="756"/>
      <c r="CH11" s="756"/>
      <c r="CI11" s="891"/>
      <c r="CJ11" s="756" t="s">
        <v>265</v>
      </c>
      <c r="CK11" s="756"/>
      <c r="CL11" s="756"/>
      <c r="CM11" s="756"/>
      <c r="CN11" s="891"/>
      <c r="CO11" s="756" t="s">
        <v>1487</v>
      </c>
      <c r="CP11" s="756"/>
      <c r="CQ11" s="756"/>
      <c r="CR11" s="756"/>
      <c r="CS11" s="891"/>
      <c r="CT11" s="200"/>
      <c r="CU11" s="200"/>
      <c r="CV11" s="200"/>
      <c r="CW11" s="200"/>
      <c r="CX11" s="200"/>
      <c r="CY11" s="200"/>
      <c r="CZ11" s="200"/>
      <c r="DA11" s="200"/>
      <c r="DB11" s="200"/>
      <c r="DC11" s="200"/>
      <c r="DD11" s="200"/>
      <c r="DE11" s="200"/>
      <c r="DF11" s="200"/>
      <c r="DG11" s="200"/>
      <c r="DH11" s="200"/>
      <c r="DI11" s="200"/>
      <c r="DJ11" s="200"/>
      <c r="DK11" s="200"/>
      <c r="DL11" s="200"/>
      <c r="DM11" s="200"/>
      <c r="DN11" s="200"/>
      <c r="DO11" s="200"/>
      <c r="DP11" s="200"/>
      <c r="DQ11" s="200"/>
      <c r="DR11" s="200"/>
      <c r="DS11" s="200"/>
      <c r="DT11" s="200"/>
      <c r="DU11" s="200"/>
      <c r="DV11" s="200"/>
      <c r="DW11" s="200"/>
      <c r="DX11" s="200"/>
      <c r="DY11" s="200"/>
      <c r="DZ11" s="200"/>
      <c r="EA11" s="200"/>
    </row>
    <row r="12" spans="1:131" ht="12.75" customHeight="1" x14ac:dyDescent="0.25">
      <c r="A12" s="111" t="s">
        <v>263</v>
      </c>
      <c r="B12" s="885"/>
      <c r="C12" s="194" t="s">
        <v>126</v>
      </c>
      <c r="D12" s="195"/>
      <c r="E12" s="194" t="s">
        <v>127</v>
      </c>
      <c r="F12" s="195"/>
      <c r="G12" s="194" t="s">
        <v>128</v>
      </c>
      <c r="H12" s="195"/>
      <c r="I12" s="194" t="s">
        <v>129</v>
      </c>
      <c r="J12" s="195"/>
      <c r="K12" s="84"/>
      <c r="L12" s="196" t="s">
        <v>126</v>
      </c>
      <c r="M12" s="195"/>
      <c r="N12" s="194" t="s">
        <v>127</v>
      </c>
      <c r="O12" s="195"/>
      <c r="P12" s="194" t="s">
        <v>128</v>
      </c>
      <c r="Q12" s="195"/>
      <c r="R12" s="194" t="s">
        <v>129</v>
      </c>
      <c r="S12" s="195"/>
      <c r="T12" s="459"/>
      <c r="U12" s="887"/>
      <c r="V12" s="885"/>
      <c r="W12" s="197" t="s">
        <v>126</v>
      </c>
      <c r="X12" s="195"/>
      <c r="Y12" s="194" t="s">
        <v>127</v>
      </c>
      <c r="Z12" s="195"/>
      <c r="AA12" s="194" t="s">
        <v>128</v>
      </c>
      <c r="AB12" s="195"/>
      <c r="AC12" s="194" t="s">
        <v>129</v>
      </c>
      <c r="AD12" s="195"/>
      <c r="AE12" s="84"/>
      <c r="AF12" s="196" t="s">
        <v>126</v>
      </c>
      <c r="AG12" s="195"/>
      <c r="AH12" s="194" t="s">
        <v>127</v>
      </c>
      <c r="AI12" s="195"/>
      <c r="AJ12" s="194" t="s">
        <v>128</v>
      </c>
      <c r="AK12" s="195"/>
      <c r="AL12" s="194" t="s">
        <v>129</v>
      </c>
      <c r="AM12" s="195"/>
      <c r="AN12" s="459"/>
      <c r="AO12" s="887"/>
      <c r="AP12" s="885"/>
      <c r="AQ12" s="194" t="s">
        <v>126</v>
      </c>
      <c r="AR12" s="195"/>
      <c r="AS12" s="194" t="s">
        <v>127</v>
      </c>
      <c r="AT12" s="195"/>
      <c r="AU12" s="194" t="s">
        <v>128</v>
      </c>
      <c r="AV12" s="195"/>
      <c r="AW12" s="194" t="s">
        <v>129</v>
      </c>
      <c r="AX12" s="195"/>
      <c r="AY12" s="84"/>
      <c r="AZ12" s="196" t="s">
        <v>126</v>
      </c>
      <c r="BA12" s="195"/>
      <c r="BB12" s="194" t="s">
        <v>127</v>
      </c>
      <c r="BC12" s="195"/>
      <c r="BD12" s="194" t="s">
        <v>128</v>
      </c>
      <c r="BE12" s="195"/>
      <c r="BF12" s="194" t="s">
        <v>129</v>
      </c>
      <c r="BG12" s="195"/>
      <c r="BH12" s="459"/>
      <c r="BI12" s="895"/>
      <c r="BJ12" s="885"/>
      <c r="BK12" s="197" t="s">
        <v>126</v>
      </c>
      <c r="BL12" s="195"/>
      <c r="BM12" s="194" t="s">
        <v>127</v>
      </c>
      <c r="BN12" s="195"/>
      <c r="BO12" s="194" t="s">
        <v>128</v>
      </c>
      <c r="BP12" s="195"/>
      <c r="BQ12" s="194" t="s">
        <v>129</v>
      </c>
      <c r="BR12" s="195"/>
      <c r="BS12" s="84"/>
      <c r="BT12" s="196" t="s">
        <v>126</v>
      </c>
      <c r="BU12" s="195"/>
      <c r="BV12" s="194" t="s">
        <v>127</v>
      </c>
      <c r="BW12" s="195"/>
      <c r="BX12" s="194" t="s">
        <v>128</v>
      </c>
      <c r="BY12" s="195"/>
      <c r="BZ12" s="194" t="s">
        <v>129</v>
      </c>
      <c r="CA12" s="195"/>
      <c r="CB12" s="459"/>
      <c r="CC12" s="895"/>
      <c r="CD12" s="885"/>
      <c r="CE12" s="194" t="s">
        <v>126</v>
      </c>
      <c r="CF12" s="194" t="s">
        <v>127</v>
      </c>
      <c r="CG12" s="194" t="s">
        <v>128</v>
      </c>
      <c r="CH12" s="195" t="s">
        <v>129</v>
      </c>
      <c r="CI12" s="891"/>
      <c r="CJ12" s="194" t="s">
        <v>126</v>
      </c>
      <c r="CK12" s="194" t="s">
        <v>127</v>
      </c>
      <c r="CL12" s="194" t="s">
        <v>128</v>
      </c>
      <c r="CM12" s="195" t="s">
        <v>129</v>
      </c>
      <c r="CN12" s="891"/>
      <c r="CO12" s="194" t="s">
        <v>126</v>
      </c>
      <c r="CP12" s="194" t="s">
        <v>127</v>
      </c>
      <c r="CQ12" s="194" t="s">
        <v>128</v>
      </c>
      <c r="CR12" s="195" t="s">
        <v>129</v>
      </c>
      <c r="CS12" s="891"/>
    </row>
    <row r="13" spans="1:131" s="273" customFormat="1" ht="46.5" customHeight="1" x14ac:dyDescent="0.25">
      <c r="A13" s="458"/>
      <c r="B13" s="885"/>
      <c r="C13" s="699" t="s">
        <v>261</v>
      </c>
      <c r="D13" s="699" t="s">
        <v>260</v>
      </c>
      <c r="E13" s="699" t="s">
        <v>261</v>
      </c>
      <c r="F13" s="699" t="s">
        <v>260</v>
      </c>
      <c r="G13" s="699" t="s">
        <v>261</v>
      </c>
      <c r="H13" s="699" t="s">
        <v>260</v>
      </c>
      <c r="I13" s="699" t="s">
        <v>261</v>
      </c>
      <c r="J13" s="699" t="s">
        <v>260</v>
      </c>
      <c r="K13" s="700" t="s">
        <v>262</v>
      </c>
      <c r="L13" s="701" t="s">
        <v>261</v>
      </c>
      <c r="M13" s="699" t="s">
        <v>260</v>
      </c>
      <c r="N13" s="699" t="s">
        <v>261</v>
      </c>
      <c r="O13" s="699" t="s">
        <v>260</v>
      </c>
      <c r="P13" s="699" t="s">
        <v>261</v>
      </c>
      <c r="Q13" s="699" t="s">
        <v>260</v>
      </c>
      <c r="R13" s="699" t="s">
        <v>261</v>
      </c>
      <c r="S13" s="699" t="s">
        <v>260</v>
      </c>
      <c r="T13" s="699" t="s">
        <v>259</v>
      </c>
      <c r="U13" s="888"/>
      <c r="V13" s="885"/>
      <c r="W13" s="702" t="s">
        <v>261</v>
      </c>
      <c r="X13" s="699" t="s">
        <v>260</v>
      </c>
      <c r="Y13" s="699" t="s">
        <v>261</v>
      </c>
      <c r="Z13" s="699" t="s">
        <v>260</v>
      </c>
      <c r="AA13" s="699" t="s">
        <v>261</v>
      </c>
      <c r="AB13" s="699" t="s">
        <v>260</v>
      </c>
      <c r="AC13" s="699" t="s">
        <v>261</v>
      </c>
      <c r="AD13" s="699" t="s">
        <v>260</v>
      </c>
      <c r="AE13" s="700" t="s">
        <v>262</v>
      </c>
      <c r="AF13" s="701" t="s">
        <v>261</v>
      </c>
      <c r="AG13" s="699" t="s">
        <v>260</v>
      </c>
      <c r="AH13" s="699" t="s">
        <v>261</v>
      </c>
      <c r="AI13" s="699" t="s">
        <v>260</v>
      </c>
      <c r="AJ13" s="699" t="s">
        <v>261</v>
      </c>
      <c r="AK13" s="699" t="s">
        <v>260</v>
      </c>
      <c r="AL13" s="699" t="s">
        <v>261</v>
      </c>
      <c r="AM13" s="699" t="s">
        <v>260</v>
      </c>
      <c r="AN13" s="699" t="s">
        <v>259</v>
      </c>
      <c r="AO13" s="888"/>
      <c r="AP13" s="885"/>
      <c r="AQ13" s="699" t="s">
        <v>261</v>
      </c>
      <c r="AR13" s="699" t="s">
        <v>260</v>
      </c>
      <c r="AS13" s="699" t="s">
        <v>261</v>
      </c>
      <c r="AT13" s="699" t="s">
        <v>260</v>
      </c>
      <c r="AU13" s="699" t="s">
        <v>261</v>
      </c>
      <c r="AV13" s="699" t="s">
        <v>260</v>
      </c>
      <c r="AW13" s="699" t="s">
        <v>261</v>
      </c>
      <c r="AX13" s="699" t="s">
        <v>260</v>
      </c>
      <c r="AY13" s="700" t="s">
        <v>262</v>
      </c>
      <c r="AZ13" s="701" t="s">
        <v>261</v>
      </c>
      <c r="BA13" s="699" t="s">
        <v>260</v>
      </c>
      <c r="BB13" s="699" t="s">
        <v>261</v>
      </c>
      <c r="BC13" s="699" t="s">
        <v>260</v>
      </c>
      <c r="BD13" s="699" t="s">
        <v>261</v>
      </c>
      <c r="BE13" s="699" t="s">
        <v>260</v>
      </c>
      <c r="BF13" s="699" t="s">
        <v>261</v>
      </c>
      <c r="BG13" s="699" t="s">
        <v>260</v>
      </c>
      <c r="BH13" s="699" t="s">
        <v>259</v>
      </c>
      <c r="BI13" s="896"/>
      <c r="BJ13" s="885"/>
      <c r="BK13" s="702" t="s">
        <v>261</v>
      </c>
      <c r="BL13" s="699" t="s">
        <v>260</v>
      </c>
      <c r="BM13" s="699" t="s">
        <v>261</v>
      </c>
      <c r="BN13" s="699" t="s">
        <v>260</v>
      </c>
      <c r="BO13" s="699" t="s">
        <v>261</v>
      </c>
      <c r="BP13" s="699" t="s">
        <v>260</v>
      </c>
      <c r="BQ13" s="699" t="s">
        <v>261</v>
      </c>
      <c r="BR13" s="699" t="s">
        <v>260</v>
      </c>
      <c r="BS13" s="700" t="s">
        <v>262</v>
      </c>
      <c r="BT13" s="701" t="s">
        <v>261</v>
      </c>
      <c r="BU13" s="699" t="s">
        <v>260</v>
      </c>
      <c r="BV13" s="699" t="s">
        <v>261</v>
      </c>
      <c r="BW13" s="699" t="s">
        <v>260</v>
      </c>
      <c r="BX13" s="699" t="s">
        <v>261</v>
      </c>
      <c r="BY13" s="699" t="s">
        <v>260</v>
      </c>
      <c r="BZ13" s="699" t="s">
        <v>261</v>
      </c>
      <c r="CA13" s="699" t="s">
        <v>260</v>
      </c>
      <c r="CB13" s="699" t="s">
        <v>259</v>
      </c>
      <c r="CC13" s="896"/>
      <c r="CD13" s="885"/>
      <c r="CE13" s="703" t="s">
        <v>205</v>
      </c>
      <c r="CF13" s="703" t="s">
        <v>205</v>
      </c>
      <c r="CG13" s="703" t="s">
        <v>205</v>
      </c>
      <c r="CH13" s="703" t="s">
        <v>205</v>
      </c>
      <c r="CI13" s="892"/>
      <c r="CJ13" s="703" t="s">
        <v>205</v>
      </c>
      <c r="CK13" s="703" t="s">
        <v>205</v>
      </c>
      <c r="CL13" s="703" t="s">
        <v>205</v>
      </c>
      <c r="CM13" s="703" t="s">
        <v>205</v>
      </c>
      <c r="CN13" s="892"/>
      <c r="CO13" s="703" t="s">
        <v>205</v>
      </c>
      <c r="CP13" s="703" t="s">
        <v>205</v>
      </c>
      <c r="CQ13" s="703" t="s">
        <v>205</v>
      </c>
      <c r="CR13" s="703" t="s">
        <v>205</v>
      </c>
      <c r="CS13" s="892"/>
      <c r="CT13" s="422"/>
      <c r="CU13" s="422"/>
      <c r="CV13" s="422"/>
      <c r="CW13" s="422"/>
      <c r="CX13" s="422"/>
      <c r="CY13" s="422"/>
      <c r="CZ13" s="422"/>
      <c r="DA13" s="422"/>
      <c r="DB13" s="422"/>
      <c r="DC13" s="422"/>
      <c r="DD13" s="422"/>
      <c r="DE13" s="422"/>
      <c r="DF13" s="422"/>
      <c r="DG13" s="422"/>
      <c r="DH13" s="422"/>
      <c r="DI13" s="422"/>
      <c r="DJ13" s="422"/>
      <c r="DK13" s="422"/>
      <c r="DL13" s="422"/>
      <c r="DM13" s="422"/>
      <c r="DN13" s="422"/>
      <c r="DO13" s="422"/>
      <c r="DP13" s="422"/>
      <c r="DQ13" s="422"/>
      <c r="DR13" s="422"/>
      <c r="DS13" s="422"/>
      <c r="DT13" s="422"/>
      <c r="DU13" s="422"/>
      <c r="DV13" s="422"/>
      <c r="DW13" s="422"/>
      <c r="DX13" s="422"/>
      <c r="DY13" s="422"/>
      <c r="DZ13" s="422"/>
      <c r="EA13" s="422"/>
    </row>
    <row r="14" spans="1:131" ht="15.75" customHeight="1" x14ac:dyDescent="0.25">
      <c r="A14" s="19" t="s">
        <v>199</v>
      </c>
      <c r="B14" s="153"/>
      <c r="C14" s="748">
        <f>INDEX('Schedule 1_Enrollment'!$D$12:$K$35,MATCH(C12,'Schedule 1_Enrollment'!$B$10:$B$31,0)+1,MATCH(C10,'Schedule 1_Enrollment'!$D$10:$K$10,0)+IF(C13="Dual Eligible",1,0))</f>
        <v>55</v>
      </c>
      <c r="D14" s="748">
        <f>INDEX('Schedule 1_Enrollment'!$D$12:$K$35,MATCH(C12,'Schedule 1_Enrollment'!$B$10:$B$31,0)+1,MATCH(C10,'Schedule 1_Enrollment'!$D$10:$K$10,0)+IF(D13="Dual Eligible",1,0))</f>
        <v>430.03628780128054</v>
      </c>
      <c r="E14" s="748">
        <f>INDEX('Schedule 1_Enrollment'!$D$12:$K$35,MATCH(E12,'Schedule 1_Enrollment'!$B$10:$B$31,0)+1,MATCH(C10,'Schedule 1_Enrollment'!$D$10:$K$10,0)+IF(E13="Dual Eligible",1,0))</f>
        <v>96</v>
      </c>
      <c r="F14" s="748">
        <f>INDEX('Schedule 1_Enrollment'!$D$12:$K$35,MATCH(E12,'Schedule 1_Enrollment'!$B$10:$B$31,0)+1,MATCH(C10,'Schedule 1_Enrollment'!$D$10:$K$10,0)+IF(F13="Dual Eligible",1,0))</f>
        <v>621</v>
      </c>
      <c r="G14" s="748">
        <f>INDEX('Schedule 1_Enrollment'!$D$12:$K$35,MATCH(G12,'Schedule 1_Enrollment'!$B$10:$B$31,0)+1,MATCH(C10,'Schedule 1_Enrollment'!$D$10:$K$10,0)+IF(G13="Dual Eligible",1,0))</f>
        <v>109</v>
      </c>
      <c r="H14" s="748">
        <f>INDEX('Schedule 1_Enrollment'!$D$12:$K$35,MATCH(G12,'Schedule 1_Enrollment'!$B$10:$B$31,0)+1,MATCH(C10,'Schedule 1_Enrollment'!$D$10:$K$10,0)+IF(H13="Dual Eligible",1,0))</f>
        <v>644</v>
      </c>
      <c r="I14" s="748">
        <f>INDEX('Schedule 1_Enrollment'!$D$12:$K$35,MATCH(I12,'Schedule 1_Enrollment'!$B$10:$B$31,0)+1,MATCH(C10,'Schedule 1_Enrollment'!$D$10:$K$10,0)+IF(I13="Dual Eligible",1,0))</f>
        <v>91</v>
      </c>
      <c r="J14" s="748">
        <f>INDEX('Schedule 1_Enrollment'!$D$12:$K$35,MATCH(I12,'Schedule 1_Enrollment'!$B$10:$B$31,0)+1,MATCH(C10,'Schedule 1_Enrollment'!$D$10:$K$10,0)+IF(J13="Dual Eligible",1,0))</f>
        <v>632</v>
      </c>
      <c r="K14" s="751">
        <f>SUM(C14:J14)</f>
        <v>2678.0362878012807</v>
      </c>
      <c r="L14" s="750">
        <f>INDEX('Schedule 1_Enrollment'!$D$12:$K$35,MATCH(L12,'Schedule 1_Enrollment'!$B$10:$B$31,0)+1,MATCH(C10,'Schedule 1_Enrollment'!$D$10:$K$10,0)+IF(L13="Dual Eligible",1,0))</f>
        <v>55</v>
      </c>
      <c r="M14" s="748">
        <f>INDEX('Schedule 1_Enrollment'!$D$12:$K$35,MATCH(L12,'Schedule 1_Enrollment'!$B$10:$B$31,0)+1,MATCH(C10,'Schedule 1_Enrollment'!$D$10:$K$10,0)+IF(M13="Dual Eligible",1,0))</f>
        <v>430.03628780128054</v>
      </c>
      <c r="N14" s="748">
        <f>INDEX('Schedule 1_Enrollment'!$D$12:$K$35,MATCH(N12,'Schedule 1_Enrollment'!$B$10:$B$31,0)+1,MATCH(C10,'Schedule 1_Enrollment'!$D$10:$K$10,0)+IF(N13="Dual Eligible",1,0))</f>
        <v>96</v>
      </c>
      <c r="O14" s="748">
        <f>INDEX('Schedule 1_Enrollment'!$D$12:$K$35,MATCH(N12,'Schedule 1_Enrollment'!$B$10:$B$31,0)+1,MATCH(C10,'Schedule 1_Enrollment'!$D$10:$K$10,0)+IF(O13="Dual Eligible",1,0))</f>
        <v>621</v>
      </c>
      <c r="P14" s="748">
        <f>INDEX('Schedule 1_Enrollment'!$D$12:$K$35,MATCH(P12,'Schedule 1_Enrollment'!$B$10:$B$31,0)+1,MATCH(C10,'Schedule 1_Enrollment'!$D$10:$K$10,0)+IF(P13="Dual Eligible",1,0))</f>
        <v>109</v>
      </c>
      <c r="Q14" s="748">
        <f>INDEX('Schedule 1_Enrollment'!$D$12:$K$35,MATCH(P12,'Schedule 1_Enrollment'!$B$10:$B$31,0)+1,MATCH(C10,'Schedule 1_Enrollment'!$D$10:$K$10,0)+IF(Q13="Dual Eligible",1,0))</f>
        <v>644</v>
      </c>
      <c r="R14" s="748">
        <f>INDEX('Schedule 1_Enrollment'!$D$12:$K$35,MATCH(R12,'Schedule 1_Enrollment'!$B$10:$B$31,0)+1,MATCH(C10,'Schedule 1_Enrollment'!$D$10:$K$10,0)+IF(R13="Dual Eligible",1,0))</f>
        <v>91</v>
      </c>
      <c r="S14" s="748">
        <f>INDEX('Schedule 1_Enrollment'!$D$12:$K$35,MATCH(R12,'Schedule 1_Enrollment'!$B$10:$B$31,0)+1,MATCH(C10,'Schedule 1_Enrollment'!$D$10:$K$10,0)+IF(S13="Dual Eligible",1,0))</f>
        <v>632</v>
      </c>
      <c r="T14" s="751">
        <f>SUM(L14:S14)</f>
        <v>2678.0362878012807</v>
      </c>
      <c r="U14" s="748">
        <f>T14</f>
        <v>2678.0362878012807</v>
      </c>
      <c r="V14" s="153"/>
      <c r="W14" s="748">
        <f>INDEX('Schedule 1_Enrollment'!$D$12:$K$35,MATCH(W12,'Schedule 1_Enrollment'!$B$10:$B$31,0)+1,MATCH(W10,'Schedule 1_Enrollment'!$D$10:$K$10,0)+IF(W13="Dual Eligible",1,0))</f>
        <v>0</v>
      </c>
      <c r="X14" s="748">
        <f>INDEX('Schedule 1_Enrollment'!$D$12:$K$35,MATCH(W12,'Schedule 1_Enrollment'!$B$10:$B$31,0)+1,MATCH(W10,'Schedule 1_Enrollment'!$D$10:$K$10,0)+IF(X13="Dual Eligible",1,0))</f>
        <v>124</v>
      </c>
      <c r="Y14" s="748">
        <f>INDEX('Schedule 1_Enrollment'!$D$12:$K$35,MATCH(Y12,'Schedule 1_Enrollment'!$B$10:$B$31,0)+1,MATCH(W10,'Schedule 1_Enrollment'!$D$10:$K$10,0)+IF(Y13="Dual Eligible",1,0))</f>
        <v>2</v>
      </c>
      <c r="Z14" s="748">
        <f>INDEX('Schedule 1_Enrollment'!$D$12:$K$35,MATCH(Y12,'Schedule 1_Enrollment'!$B$10:$B$31,0)+1,MATCH(W10,'Schedule 1_Enrollment'!$D$10:$K$10,0)+IF(Z13="Dual Eligible",1,0))</f>
        <v>87</v>
      </c>
      <c r="AA14" s="748">
        <f>INDEX('Schedule 1_Enrollment'!$D$12:$K$35,MATCH(AA12,'Schedule 1_Enrollment'!$B$10:$B$31,0)+1,MATCH(W10,'Schedule 1_Enrollment'!$D$10:$K$10,0)+IF(AA13="Dual Eligible",1,0))</f>
        <v>8</v>
      </c>
      <c r="AB14" s="748">
        <f>INDEX('Schedule 1_Enrollment'!$D$12:$K$35,MATCH(AA12,'Schedule 1_Enrollment'!$B$10:$B$31,0)+1,MATCH(W10,'Schedule 1_Enrollment'!$D$10:$K$10,0)+IF(AB13="Dual Eligible",1,0))</f>
        <v>91</v>
      </c>
      <c r="AC14" s="748">
        <f>INDEX('Schedule 1_Enrollment'!$D$12:$K$35,MATCH(AC12,'Schedule 1_Enrollment'!$B$10:$B$31,0)+1,MATCH(W10,'Schedule 1_Enrollment'!$D$10:$K$10,0)+IF(AC13="Dual Eligible",1,0))</f>
        <v>9</v>
      </c>
      <c r="AD14" s="748">
        <f>INDEX('Schedule 1_Enrollment'!$D$12:$K$35,MATCH(AC12,'Schedule 1_Enrollment'!$B$10:$B$31,0)+1,MATCH(W10,'Schedule 1_Enrollment'!$D$10:$K$10,0)+IF(AD13="Dual Eligible",1,0))</f>
        <v>94</v>
      </c>
      <c r="AE14" s="751">
        <f>SUM(W14:AD14)</f>
        <v>415</v>
      </c>
      <c r="AF14" s="750">
        <f>INDEX('Schedule 1_Enrollment'!$D$12:$K$35,MATCH(AF12,'Schedule 1_Enrollment'!$B$10:$B$31,0)+1,MATCH(W10,'Schedule 1_Enrollment'!$D$10:$K$10,0)+IF(AF13="Dual Eligible",1,0))</f>
        <v>0</v>
      </c>
      <c r="AG14" s="748">
        <f>INDEX('Schedule 1_Enrollment'!$D$12:$K$35,MATCH(AF12,'Schedule 1_Enrollment'!$B$10:$B$31,0)+1,MATCH(W10,'Schedule 1_Enrollment'!$D$10:$K$10,0)+IF(AG13="Dual Eligible",1,0))</f>
        <v>124</v>
      </c>
      <c r="AH14" s="748">
        <f>INDEX('Schedule 1_Enrollment'!$D$12:$K$35,MATCH(AH12,'Schedule 1_Enrollment'!$B$10:$B$31,0)+1,MATCH(W10,'Schedule 1_Enrollment'!$D$10:$K$10,0)+IF(AH13="Dual Eligible",1,0))</f>
        <v>2</v>
      </c>
      <c r="AI14" s="748">
        <f>INDEX('Schedule 1_Enrollment'!$D$12:$K$35,MATCH(AH12,'Schedule 1_Enrollment'!$B$10:$B$31,0)+1,MATCH(W10,'Schedule 1_Enrollment'!$D$10:$K$10,0)+IF(AI13="Dual Eligible",1,0))</f>
        <v>87</v>
      </c>
      <c r="AJ14" s="748">
        <f>INDEX('Schedule 1_Enrollment'!$D$12:$K$35,MATCH(AJ12,'Schedule 1_Enrollment'!$B$10:$B$31,0)+1,MATCH(W10,'Schedule 1_Enrollment'!$D$10:$K$10,0)+IF(AJ13="Dual Eligible",1,0))</f>
        <v>8</v>
      </c>
      <c r="AK14" s="748">
        <f>INDEX('Schedule 1_Enrollment'!$D$12:$K$35,MATCH(AJ12,'Schedule 1_Enrollment'!$B$10:$B$31,0)+1,MATCH(W10,'Schedule 1_Enrollment'!$D$10:$K$10,0)+IF(AK13="Dual Eligible",1,0))</f>
        <v>91</v>
      </c>
      <c r="AL14" s="748">
        <f>INDEX('Schedule 1_Enrollment'!$D$12:$K$35,MATCH(AL12,'Schedule 1_Enrollment'!$B$10:$B$31,0)+1,MATCH(W10,'Schedule 1_Enrollment'!$D$10:$K$10,0)+IF(AL13="Dual Eligible",1,0))</f>
        <v>9</v>
      </c>
      <c r="AM14" s="748">
        <f>INDEX('Schedule 1_Enrollment'!$D$12:$K$35,MATCH(AL12,'Schedule 1_Enrollment'!$B$10:$B$31,0)+1,MATCH(W10,'Schedule 1_Enrollment'!$D$10:$K$10,0)+IF(AM13="Dual Eligible",1,0))</f>
        <v>94</v>
      </c>
      <c r="AN14" s="751">
        <f>SUM(AF14:AM14)</f>
        <v>415</v>
      </c>
      <c r="AO14" s="748">
        <f>AN14</f>
        <v>415</v>
      </c>
      <c r="AP14" s="153"/>
      <c r="AQ14" s="748">
        <f>INDEX('Schedule 1_Enrollment'!$D$12:$K$35,MATCH(AQ12,'Schedule 1_Enrollment'!$B$10:$B$31,0)+1,MATCH(AQ10,'Schedule 1_Enrollment'!$D$10:$K$10,0)+IF(AQ13="Dual Eligible",1,0))</f>
        <v>298</v>
      </c>
      <c r="AR14" s="748">
        <f>INDEX('Schedule 1_Enrollment'!$D$12:$K$35,MATCH(AQ12,'Schedule 1_Enrollment'!$B$10:$B$31,0)+1,MATCH(AQ10,'Schedule 1_Enrollment'!$D$10:$K$10,0)+IF(AR13="Dual Eligible",1,0))</f>
        <v>1083.3063069723746</v>
      </c>
      <c r="AS14" s="748">
        <f>INDEX('Schedule 1_Enrollment'!$D$12:$K$35,MATCH(AS12,'Schedule 1_Enrollment'!$B$10:$B$31,0)+1,MATCH(AQ10,'Schedule 1_Enrollment'!$D$10:$K$10,0)+IF(AS13="Dual Eligible",1,0))</f>
        <v>287</v>
      </c>
      <c r="AT14" s="748">
        <f>INDEX('Schedule 1_Enrollment'!$D$12:$K$35,MATCH(AS12,'Schedule 1_Enrollment'!$B$10:$B$31,0)+1,MATCH(AQ10,'Schedule 1_Enrollment'!$D$10:$K$10,0)+IF(AT13="Dual Eligible",1,0))</f>
        <v>1033.7356920975371</v>
      </c>
      <c r="AU14" s="748">
        <f>INDEX('Schedule 1_Enrollment'!$D$12:$K$35,MATCH(AU12,'Schedule 1_Enrollment'!$B$10:$B$31,0)+1,MATCH(AQ10,'Schedule 1_Enrollment'!$D$10:$K$10,0)+IF(AU13="Dual Eligible",1,0))</f>
        <v>312.06490137486685</v>
      </c>
      <c r="AV14" s="748">
        <f>INDEX('Schedule 1_Enrollment'!$D$12:$K$35,MATCH(AU12,'Schedule 1_Enrollment'!$B$10:$B$31,0)+1,MATCH(AQ10,'Schedule 1_Enrollment'!$D$10:$K$10,0)+IF(AV13="Dual Eligible",1,0))</f>
        <v>1175.7687490240294</v>
      </c>
      <c r="AW14" s="748">
        <f>INDEX('Schedule 1_Enrollment'!$D$12:$K$35,MATCH(AW12,'Schedule 1_Enrollment'!$B$10:$B$31,0)+1,MATCH(AQ10,'Schedule 1_Enrollment'!$D$10:$K$10,0)+IF(AW13="Dual Eligible",1,0))</f>
        <v>352</v>
      </c>
      <c r="AX14" s="748">
        <f>INDEX('Schedule 1_Enrollment'!$D$12:$K$35,MATCH(AW12,'Schedule 1_Enrollment'!$B$10:$B$31,0)+1,MATCH(AQ10,'Schedule 1_Enrollment'!$D$10:$K$10,0)+IF(AX13="Dual Eligible",1,0))</f>
        <v>1343.5125006427527</v>
      </c>
      <c r="AY14" s="751">
        <f>SUM(AQ14:AX14)</f>
        <v>5885.3881501115611</v>
      </c>
      <c r="AZ14" s="750">
        <f>INDEX('Schedule 1_Enrollment'!$D$12:$K$35,MATCH(AZ12,'Schedule 1_Enrollment'!$B$10:$B$31,0)+1,MATCH(AQ10,'Schedule 1_Enrollment'!$D$10:$K$10,0)+IF(AZ13="Dual Eligible",1,0))</f>
        <v>298</v>
      </c>
      <c r="BA14" s="748">
        <f>INDEX('Schedule 1_Enrollment'!$D$12:$K$35,MATCH(AZ12,'Schedule 1_Enrollment'!$B$10:$B$31,0)+1,MATCH(AQ10,'Schedule 1_Enrollment'!$D$10:$K$10,0)+IF(BA13="Dual Eligible",1,0))</f>
        <v>1083.3063069723746</v>
      </c>
      <c r="BB14" s="748">
        <f>INDEX('Schedule 1_Enrollment'!$D$12:$K$35,MATCH(BB12,'Schedule 1_Enrollment'!$B$10:$B$31,0)+1,MATCH(AQ10,'Schedule 1_Enrollment'!$D$10:$K$10,0)+IF(BB13="Dual Eligible",1,0))</f>
        <v>287</v>
      </c>
      <c r="BC14" s="748">
        <f>INDEX('Schedule 1_Enrollment'!$D$12:$K$35,MATCH(BB12,'Schedule 1_Enrollment'!$B$10:$B$31,0)+1,MATCH(AQ10,'Schedule 1_Enrollment'!$D$10:$K$10,0)+IF(BC13="Dual Eligible",1,0))</f>
        <v>1033.7356920975371</v>
      </c>
      <c r="BD14" s="748">
        <f>INDEX('Schedule 1_Enrollment'!$D$12:$K$35,MATCH(BD12,'Schedule 1_Enrollment'!$B$10:$B$31,0)+1,MATCH(AQ10,'Schedule 1_Enrollment'!$D$10:$K$10,0)+IF(BD13="Dual Eligible",1,0))</f>
        <v>312.06490137486685</v>
      </c>
      <c r="BE14" s="748">
        <f>INDEX('Schedule 1_Enrollment'!$D$12:$K$35,MATCH(BD12,'Schedule 1_Enrollment'!$B$10:$B$31,0)+1,MATCH(AQ10,'Schedule 1_Enrollment'!$D$10:$K$10,0)+IF(BE13="Dual Eligible",1,0))</f>
        <v>1175.7687490240294</v>
      </c>
      <c r="BF14" s="748">
        <f>INDEX('Schedule 1_Enrollment'!$D$12:$K$35,MATCH(BF12,'Schedule 1_Enrollment'!$B$10:$B$31,0)+1,MATCH(AQ10,'Schedule 1_Enrollment'!$D$10:$K$10,0)+IF(BF13="Dual Eligible",1,0))</f>
        <v>352</v>
      </c>
      <c r="BG14" s="748">
        <f>INDEX('Schedule 1_Enrollment'!$D$12:$K$35,MATCH(BF12,'Schedule 1_Enrollment'!$B$10:$B$31,0)+1,MATCH(AQ10,'Schedule 1_Enrollment'!$D$10:$K$10,0)+IF(BG13="Dual Eligible",1,0))</f>
        <v>1343.5125006427527</v>
      </c>
      <c r="BH14" s="751">
        <f>SUM(AZ14:BG14)</f>
        <v>5885.3881501115611</v>
      </c>
      <c r="BI14" s="748">
        <f>BH14</f>
        <v>5885.3881501115611</v>
      </c>
      <c r="BJ14" s="153"/>
      <c r="BK14" s="748">
        <f>INDEX('Schedule 1_Enrollment'!$D$12:$K$35,MATCH(BK12,'Schedule 1_Enrollment'!$B$10:$B$31,0)+1,MATCH(IF(BK10="Institutional (All: Tier 1, Tier 2 and Tier 3)","Institutional (All Tiers)",BK10),'Schedule 1_Enrollment'!$D$10:$K$10,0)+IF(BK13="Dual Eligible",1,0))</f>
        <v>3</v>
      </c>
      <c r="BL14" s="748">
        <f>INDEX('Schedule 1_Enrollment'!$D$12:$K$35,MATCH(BK12,'Schedule 1_Enrollment'!$B$10:$B$31,0)+1,MATCH(IF(BK10="Institutional (All: Tier 1, Tier 2 and Tier 3)","Institutional (All Tiers)",BK10),'Schedule 1_Enrollment'!$D$10:$K$10,0)+IF(BL13="Dual Eligible",1,0))</f>
        <v>52.073671113858971</v>
      </c>
      <c r="BM14" s="748">
        <f>INDEX('Schedule 1_Enrollment'!$D$12:$K$35,MATCH(BM12,'Schedule 1_Enrollment'!$B$10:$B$31,0)+1,MATCH(IF(BK10="Institutional (All: Tier 1, Tier 2 and Tier 3)","Institutional (All Tiers)",BK10),'Schedule 1_Enrollment'!$D$10:$K$10,0)+IF(BM13="Dual Eligible",1,0))</f>
        <v>3</v>
      </c>
      <c r="BN14" s="748">
        <f>INDEX('Schedule 1_Enrollment'!$D$12:$K$35,MATCH(BM12,'Schedule 1_Enrollment'!$B$10:$B$31,0)+1,MATCH(IF(BK10="Institutional (All: Tier 1, Tier 2 and Tier 3)","Institutional (All Tiers)",BK10),'Schedule 1_Enrollment'!$D$10:$K$10,0)+IF(BN13="Dual Eligible",1,0))</f>
        <v>42.963657155266901</v>
      </c>
      <c r="BO14" s="748">
        <f>INDEX('Schedule 1_Enrollment'!$D$12:$K$35,MATCH(BO12,'Schedule 1_Enrollment'!$B$10:$B$31,0)+1,MATCH(IF(BK10="Institutional (All: Tier 1, Tier 2 and Tier 3)","Institutional (All Tiers)",BK10),'Schedule 1_Enrollment'!$D$10:$K$10,0)+IF(BO13="Dual Eligible",1,0))</f>
        <v>2.3256022021661988</v>
      </c>
      <c r="BP14" s="748">
        <f>INDEX('Schedule 1_Enrollment'!$D$12:$K$35,MATCH(BO12,'Schedule 1_Enrollment'!$B$10:$B$31,0)+1,MATCH(IF(BK10="Institutional (All: Tier 1, Tier 2 and Tier 3)","Institutional (All Tiers)",BK10),'Schedule 1_Enrollment'!$D$10:$K$10,0)+IF(BP13="Dual Eligible",1,0))</f>
        <v>47.289423696840352</v>
      </c>
      <c r="BQ14" s="748">
        <f>INDEX('Schedule 1_Enrollment'!$D$12:$K$35,MATCH(BQ12,'Schedule 1_Enrollment'!$B$10:$B$31,0)+1,MATCH(IF(BK10="Institutional (All: Tier 1, Tier 2 and Tier 3)","Institutional (All Tiers)",BK10),'Schedule 1_Enrollment'!$D$10:$K$10,0)+IF(BQ13="Dual Eligible",1,0))</f>
        <v>0</v>
      </c>
      <c r="BR14" s="748">
        <f>INDEX('Schedule 1_Enrollment'!$D$12:$K$35,MATCH(BQ12,'Schedule 1_Enrollment'!$B$10:$B$31,0)+1,MATCH(IF(BK10="Institutional (All: Tier 1, Tier 2 and Tier 3)","Institutional (All Tiers)",BK10),'Schedule 1_Enrollment'!$D$10:$K$10,0)+IF(BR13="Dual Eligible",1,0))</f>
        <v>42.549106445735276</v>
      </c>
      <c r="BS14" s="751">
        <f>SUM(BK14:BR14)</f>
        <v>193.20146061386771</v>
      </c>
      <c r="BT14" s="750">
        <f>INDEX('Schedule 1_Enrollment'!$D$12:$K$35,MATCH(BT12,'Schedule 1_Enrollment'!$B$10:$B$31,0)+1,MATCH(IF(BK10="Institutional (All: Tier 1, Tier 2 and Tier 3)","Institutional (All Tiers)",BK10),'Schedule 1_Enrollment'!$D$10:$K$10,0)+IF(BT13="Dual Eligible",1,0))</f>
        <v>3</v>
      </c>
      <c r="BU14" s="748">
        <f>INDEX('Schedule 1_Enrollment'!$D$12:$K$35,MATCH(BT12,'Schedule 1_Enrollment'!$B$10:$B$31,0)+1,MATCH(IF(BK10="Institutional (All: Tier 1, Tier 2 and Tier 3)","Institutional (All Tiers)",BK10),'Schedule 1_Enrollment'!$D$10:$K$10,0)+IF(BU13="Dual Eligible",1,0))</f>
        <v>52.073671113858971</v>
      </c>
      <c r="BV14" s="748">
        <f>INDEX('Schedule 1_Enrollment'!$D$12:$K$35,MATCH(BV12,'Schedule 1_Enrollment'!$B$10:$B$31,0)+1,MATCH(IF(BK10="Institutional (All: Tier 1, Tier 2 and Tier 3)","Institutional (All Tiers)",BK10),'Schedule 1_Enrollment'!$D$10:$K$10,0)+IF(BV13="Dual Eligible",1,0))</f>
        <v>3</v>
      </c>
      <c r="BW14" s="748">
        <f>INDEX('Schedule 1_Enrollment'!$D$12:$K$35,MATCH(BV12,'Schedule 1_Enrollment'!$B$10:$B$31,0)+1,MATCH(IF(BK10="Institutional (All: Tier 1, Tier 2 and Tier 3)","Institutional (All Tiers)",BK10),'Schedule 1_Enrollment'!$D$10:$K$10,0)+IF(BW13="Dual Eligible",1,0))</f>
        <v>42.963657155266901</v>
      </c>
      <c r="BX14" s="748">
        <f>INDEX('Schedule 1_Enrollment'!$D$12:$K$35,MATCH(BX12,'Schedule 1_Enrollment'!$B$10:$B$31,0)+1,MATCH(IF(BK10="Institutional (All: Tier 1, Tier 2 and Tier 3)","Institutional (All Tiers)",BK10),'Schedule 1_Enrollment'!$D$10:$K$10,0)+IF(BX13="Dual Eligible",1,0))</f>
        <v>2.3256022021661988</v>
      </c>
      <c r="BY14" s="748">
        <f>INDEX('Schedule 1_Enrollment'!$D$12:$K$35,MATCH(BX12,'Schedule 1_Enrollment'!$B$10:$B$31,0)+1,MATCH(IF(BK10="Institutional (All: Tier 1, Tier 2 and Tier 3)","Institutional (All Tiers)",BK10),'Schedule 1_Enrollment'!$D$10:$K$10,0)+IF(BY13="Dual Eligible",1,0))</f>
        <v>47.289423696840352</v>
      </c>
      <c r="BZ14" s="748">
        <f>INDEX('Schedule 1_Enrollment'!$D$12:$K$35,MATCH(BZ12,'Schedule 1_Enrollment'!$B$10:$B$31,0)+1,MATCH(IF(BK10="Institutional (All: Tier 1, Tier 2 and Tier 3)","Institutional (All Tiers)",BK10),'Schedule 1_Enrollment'!$D$10:$K$10,0)+IF(BZ13="Dual Eligible",1,0))</f>
        <v>0</v>
      </c>
      <c r="CA14" s="748">
        <f>INDEX('Schedule 1_Enrollment'!$D$12:$K$35,MATCH(BZ12,'Schedule 1_Enrollment'!$B$10:$B$31,0)+1,MATCH(IF(BK10="Institutional (All: Tier 1, Tier 2 and Tier 3)","Institutional (All Tiers)",BK10),'Schedule 1_Enrollment'!$D$10:$K$10,0)+IF(CA13="Dual Eligible",1,0))</f>
        <v>42.549106445735276</v>
      </c>
      <c r="CB14" s="751">
        <f>SUM(BT14:CA14)</f>
        <v>193.20146061386771</v>
      </c>
      <c r="CC14" s="748">
        <f>CB14</f>
        <v>193.20146061386771</v>
      </c>
      <c r="CD14" s="153"/>
      <c r="CE14" s="748">
        <f>+C14+D14+W14+X14+AQ14+AR14+BK14+BL14</f>
        <v>2045.4162658875141</v>
      </c>
      <c r="CF14" s="748">
        <f>+E14+F14+Y14+Z14+AS14+AT14+BM14+BN14</f>
        <v>2172.699349252804</v>
      </c>
      <c r="CG14" s="748">
        <f>+G14+H14+AA14+AB14+AU14+AV14+BO14+BP14</f>
        <v>2389.4486762979027</v>
      </c>
      <c r="CH14" s="748">
        <f>+I14+J14+AC14+AD14+AW14+AX14+BQ14+BR14</f>
        <v>2564.0616070884876</v>
      </c>
      <c r="CI14" s="749">
        <f>SUM(K14,AE14,AY14,BS14)</f>
        <v>9171.6258985267086</v>
      </c>
      <c r="CJ14" s="748">
        <f>L14+M14+AF14+AG14+AZ14+BA14+BT14+BU14</f>
        <v>2045.4162658875141</v>
      </c>
      <c r="CK14" s="748">
        <f>N14+O14+AH14+AI14+BB14+BC14+BV14+BW14</f>
        <v>2172.699349252804</v>
      </c>
      <c r="CL14" s="748">
        <f>P14+Q14+AJ14+AK14+BD14+BE14+BX14+BY14</f>
        <v>2389.4486762979027</v>
      </c>
      <c r="CM14" s="748">
        <f>+R14+S14+AL14+AM14+BF14+BG14+BZ14+CA14</f>
        <v>2564.0616070884876</v>
      </c>
      <c r="CN14" s="749">
        <f>SUM(T14,AN14,BH14,CB14)</f>
        <v>9171.6258985267086</v>
      </c>
      <c r="CO14" s="748">
        <f>+C14+D14+W14+X14+AQ14+AR14+BK14+BL14</f>
        <v>2045.4162658875141</v>
      </c>
      <c r="CP14" s="748">
        <f>+E14+F14+Y14+Z14+AS14+AT14+BM14+BN14</f>
        <v>2172.699349252804</v>
      </c>
      <c r="CQ14" s="748">
        <f>+G14+H14+AA14+AB14+AU14+AV14+BO14+BP14</f>
        <v>2389.4486762979027</v>
      </c>
      <c r="CR14" s="748">
        <f>+I14+J14+AC14+AD14+AW14+AX14+BQ14+BR14</f>
        <v>2564.0616070884876</v>
      </c>
      <c r="CS14" s="749">
        <f t="shared" ref="CS14" si="0">SUM(CC14,BI14,AO14,U14)</f>
        <v>9171.6258985267086</v>
      </c>
    </row>
    <row r="15" spans="1:131" ht="15.75" customHeight="1" x14ac:dyDescent="0.25">
      <c r="A15" s="19" t="s">
        <v>72</v>
      </c>
      <c r="B15" s="213"/>
      <c r="C15" s="112"/>
      <c r="D15" s="112"/>
      <c r="E15" s="112"/>
      <c r="F15" s="112"/>
      <c r="G15" s="112"/>
      <c r="H15" s="112"/>
      <c r="I15" s="112"/>
      <c r="J15" s="112"/>
      <c r="K15" s="423"/>
      <c r="L15" s="424"/>
      <c r="M15" s="112"/>
      <c r="N15" s="112"/>
      <c r="O15" s="112"/>
      <c r="P15" s="112"/>
      <c r="Q15" s="112"/>
      <c r="R15" s="112"/>
      <c r="S15" s="112"/>
      <c r="T15" s="112"/>
      <c r="U15" s="424"/>
      <c r="V15" s="213"/>
      <c r="W15" s="112"/>
      <c r="X15" s="112"/>
      <c r="Y15" s="112"/>
      <c r="Z15" s="112"/>
      <c r="AA15" s="112"/>
      <c r="AB15" s="112"/>
      <c r="AC15" s="112"/>
      <c r="AD15" s="112"/>
      <c r="AE15" s="423"/>
      <c r="AF15" s="424"/>
      <c r="AG15" s="112"/>
      <c r="AH15" s="112"/>
      <c r="AI15" s="112"/>
      <c r="AJ15" s="112"/>
      <c r="AK15" s="112"/>
      <c r="AL15" s="112"/>
      <c r="AM15" s="112"/>
      <c r="AN15" s="112"/>
      <c r="AO15" s="424"/>
      <c r="AP15" s="213"/>
      <c r="AQ15" s="112"/>
      <c r="AR15" s="112"/>
      <c r="AS15" s="112"/>
      <c r="AT15" s="112"/>
      <c r="AU15" s="112"/>
      <c r="AV15" s="112"/>
      <c r="AW15" s="112"/>
      <c r="AX15" s="112"/>
      <c r="AY15" s="423"/>
      <c r="AZ15" s="424"/>
      <c r="BA15" s="112"/>
      <c r="BB15" s="112"/>
      <c r="BC15" s="112"/>
      <c r="BD15" s="112"/>
      <c r="BE15" s="112"/>
      <c r="BF15" s="112"/>
      <c r="BG15" s="112"/>
      <c r="BH15" s="112"/>
      <c r="BI15" s="424"/>
      <c r="BJ15" s="213"/>
      <c r="BK15" s="112"/>
      <c r="BL15" s="112"/>
      <c r="BM15" s="112"/>
      <c r="BN15" s="112"/>
      <c r="BO15" s="112"/>
      <c r="BP15" s="112"/>
      <c r="BQ15" s="112"/>
      <c r="BR15" s="112"/>
      <c r="BS15" s="423"/>
      <c r="BT15" s="424"/>
      <c r="BU15" s="112"/>
      <c r="BV15" s="112"/>
      <c r="BW15" s="112"/>
      <c r="BX15" s="112"/>
      <c r="BY15" s="112"/>
      <c r="BZ15" s="112"/>
      <c r="CA15" s="112"/>
      <c r="CB15" s="112"/>
      <c r="CC15" s="424"/>
      <c r="CD15" s="213"/>
      <c r="CE15" s="219"/>
      <c r="CF15" s="219"/>
      <c r="CG15" s="219"/>
      <c r="CH15" s="219"/>
      <c r="CI15" s="213"/>
      <c r="CJ15" s="219"/>
      <c r="CK15" s="219"/>
      <c r="CL15" s="219"/>
      <c r="CM15" s="219"/>
      <c r="CN15" s="213"/>
      <c r="CO15" s="219"/>
      <c r="CP15" s="219"/>
      <c r="CQ15" s="219"/>
      <c r="CR15" s="219"/>
      <c r="CS15" s="213"/>
    </row>
    <row r="16" spans="1:131" ht="15.75" customHeight="1" x14ac:dyDescent="0.25">
      <c r="A16" s="148" t="s">
        <v>211</v>
      </c>
      <c r="B16" s="343">
        <v>1</v>
      </c>
      <c r="C16" s="259">
        <v>49112.26</v>
      </c>
      <c r="D16" s="259">
        <v>170821.54</v>
      </c>
      <c r="E16" s="259">
        <v>46845.760000000002</v>
      </c>
      <c r="F16" s="259">
        <v>184600.87</v>
      </c>
      <c r="G16" s="259">
        <v>49078.74</v>
      </c>
      <c r="H16" s="259">
        <v>209230.730000001</v>
      </c>
      <c r="I16" s="259">
        <v>55551.360000000102</v>
      </c>
      <c r="J16" s="259">
        <v>221959.320000001</v>
      </c>
      <c r="K16" s="460">
        <f t="shared" ref="K16:K23" si="1">SUM(C16:J16)</f>
        <v>987200.58000000205</v>
      </c>
      <c r="L16" s="461"/>
      <c r="M16" s="259"/>
      <c r="N16" s="259"/>
      <c r="O16" s="259"/>
      <c r="P16" s="259"/>
      <c r="Q16" s="259"/>
      <c r="R16" s="259"/>
      <c r="S16" s="259"/>
      <c r="T16" s="462">
        <f t="shared" ref="T16:T23" si="2">SUM(L16:S16)</f>
        <v>0</v>
      </c>
      <c r="U16" s="463">
        <f t="shared" ref="U16:U23" si="3">SUM(K16,T16)</f>
        <v>987200.58000000205</v>
      </c>
      <c r="V16" s="343">
        <v>1</v>
      </c>
      <c r="W16" s="259">
        <v>12651.58</v>
      </c>
      <c r="X16" s="259">
        <v>115584</v>
      </c>
      <c r="Y16" s="259">
        <v>10090.74</v>
      </c>
      <c r="Z16" s="259">
        <v>105264</v>
      </c>
      <c r="AA16" s="259">
        <v>24080.22</v>
      </c>
      <c r="AB16" s="259">
        <v>90816</v>
      </c>
      <c r="AC16" s="259">
        <v>24080.22</v>
      </c>
      <c r="AD16" s="259">
        <v>94944</v>
      </c>
      <c r="AE16" s="460">
        <f t="shared" ref="AE16:AE23" si="4">SUM(W16:AD16)</f>
        <v>477510.76</v>
      </c>
      <c r="AF16" s="461"/>
      <c r="AG16" s="259">
        <v>0</v>
      </c>
      <c r="AH16" s="259">
        <v>0</v>
      </c>
      <c r="AI16" s="259">
        <v>0</v>
      </c>
      <c r="AJ16" s="259">
        <v>0</v>
      </c>
      <c r="AK16" s="259">
        <v>0</v>
      </c>
      <c r="AL16" s="259">
        <v>0</v>
      </c>
      <c r="AM16" s="259">
        <v>0</v>
      </c>
      <c r="AN16" s="462">
        <f t="shared" ref="AN16:AN23" si="5">SUM(AF16:AM16)</f>
        <v>0</v>
      </c>
      <c r="AO16" s="463">
        <f t="shared" ref="AO16:AO23" si="6">SUM(AE16,AN16)</f>
        <v>477510.76</v>
      </c>
      <c r="AP16" s="343">
        <v>1</v>
      </c>
      <c r="AQ16" s="259">
        <v>1460521.26</v>
      </c>
      <c r="AR16" s="259">
        <v>3125565.4500000398</v>
      </c>
      <c r="AS16" s="259">
        <v>1579055.86</v>
      </c>
      <c r="AT16" s="259">
        <v>3335673.1100000497</v>
      </c>
      <c r="AU16" s="259">
        <v>1679058.8800000004</v>
      </c>
      <c r="AV16" s="259">
        <v>3734571.5899999202</v>
      </c>
      <c r="AW16" s="259">
        <v>1823318.98</v>
      </c>
      <c r="AX16" s="259">
        <v>4108817.6899999096</v>
      </c>
      <c r="AY16" s="460">
        <f t="shared" ref="AY16:AY23" si="7">SUM(AQ16:AX16)</f>
        <v>20846582.819999918</v>
      </c>
      <c r="AZ16" s="461">
        <v>0</v>
      </c>
      <c r="BA16" s="259">
        <v>0</v>
      </c>
      <c r="BB16" s="259">
        <v>0</v>
      </c>
      <c r="BC16" s="259">
        <v>0</v>
      </c>
      <c r="BD16" s="259">
        <v>0</v>
      </c>
      <c r="BE16" s="259">
        <v>0</v>
      </c>
      <c r="BF16" s="259">
        <v>0</v>
      </c>
      <c r="BG16" s="259">
        <v>0</v>
      </c>
      <c r="BH16" s="462">
        <f t="shared" ref="BH16:BH23" si="8">SUM(AZ16:BG16)</f>
        <v>0</v>
      </c>
      <c r="BI16" s="463">
        <f t="shared" ref="BI16:BI23" si="9">SUM(AY16,BH16)</f>
        <v>20846582.819999918</v>
      </c>
      <c r="BJ16" s="343">
        <v>1</v>
      </c>
      <c r="BK16" s="259">
        <v>59939.100000000006</v>
      </c>
      <c r="BL16" s="259">
        <v>479287.66</v>
      </c>
      <c r="BM16" s="259">
        <v>59939.100000000006</v>
      </c>
      <c r="BN16" s="259">
        <v>364298.58000000007</v>
      </c>
      <c r="BO16" s="259">
        <v>52946.21</v>
      </c>
      <c r="BP16" s="259">
        <v>338254.83999999997</v>
      </c>
      <c r="BQ16" s="259">
        <v>39959.4</v>
      </c>
      <c r="BR16" s="259">
        <v>268646.62</v>
      </c>
      <c r="BS16" s="460">
        <f t="shared" ref="BS16:BS23" si="10">SUM(BK16:BR16)</f>
        <v>1663271.5099999998</v>
      </c>
      <c r="BT16" s="461">
        <v>0</v>
      </c>
      <c r="BU16" s="259">
        <v>0</v>
      </c>
      <c r="BV16" s="259">
        <v>0</v>
      </c>
      <c r="BW16" s="259">
        <v>0</v>
      </c>
      <c r="BX16" s="259">
        <v>0</v>
      </c>
      <c r="BY16" s="259">
        <v>0</v>
      </c>
      <c r="BZ16" s="259">
        <v>0</v>
      </c>
      <c r="CA16" s="259">
        <v>0</v>
      </c>
      <c r="CB16" s="462">
        <f t="shared" ref="CB16:CB23" si="11">SUM(BT16:CA16)</f>
        <v>0</v>
      </c>
      <c r="CC16" s="463">
        <f t="shared" ref="CC16:CC23" si="12">SUM(BS16,CB16)</f>
        <v>1663271.5099999998</v>
      </c>
      <c r="CD16" s="343">
        <v>1</v>
      </c>
      <c r="CE16" s="462">
        <f>+C16+D16+W16+X16+AQ16+AR16+BK16+BL16</f>
        <v>5473482.8500000397</v>
      </c>
      <c r="CF16" s="462">
        <f>+E16+F16+Y16+Z16+AS16+AT16+BM16+BN16</f>
        <v>5685768.0200000498</v>
      </c>
      <c r="CG16" s="462">
        <f>+G16+H16+AA16+AB16+AU16+AV16+BO16+BP16</f>
        <v>6178037.2099999217</v>
      </c>
      <c r="CH16" s="462">
        <f>+I16+J16+AC16+AD16+AW16+AX16+BQ16+BR16</f>
        <v>6637277.5899999114</v>
      </c>
      <c r="CI16" s="464">
        <f>SUM(K16,AE16,AY16,BS16)</f>
        <v>23974565.66999992</v>
      </c>
      <c r="CJ16" s="462">
        <f>L16+M16+AF16+AG16+AZ16+BA16+BT16+BU16</f>
        <v>0</v>
      </c>
      <c r="CK16" s="462">
        <f>N16+O16+AH16+AI16+BB16+BC16+BV16+BW16</f>
        <v>0</v>
      </c>
      <c r="CL16" s="462">
        <f>P16+Q16+AJ16+AK16+BD16+BE16+BX16+BY16</f>
        <v>0</v>
      </c>
      <c r="CM16" s="462">
        <f>+R16+S16+AL16+AM16+BF16+BG16+BZ16+CA16</f>
        <v>0</v>
      </c>
      <c r="CN16" s="464">
        <f>SUM(T16,AN16,BH16,CB16)</f>
        <v>0</v>
      </c>
      <c r="CO16" s="462">
        <f>+C16+D16+L16+M16+W16+X16+AF16+AG16+AQ16+AR16+AZ16+BA16+BK16+BL16+BT16+BU16</f>
        <v>5473482.8500000397</v>
      </c>
      <c r="CP16" s="462">
        <f>+E16+F16+N16+O16+Y16+Z16+AH16+AI16+AS16+AT16+BB16+BC16+BM16+BN16+BV16+BW16</f>
        <v>5685768.0200000498</v>
      </c>
      <c r="CQ16" s="462">
        <f>+G16+H16+P16+Q16+AA16+AB16+AJ16+AK16+AU16+AV16+BD16+BE16+BO16+BP16+BX16+BY16</f>
        <v>6178037.2099999217</v>
      </c>
      <c r="CR16" s="462">
        <f>+I16+J16+R16+S16+AC16+AD16+AL16+AM16+AW16+AX16+BF16+BG16+BQ16+BR16+BZ16+CA16</f>
        <v>6637277.5899999114</v>
      </c>
      <c r="CS16" s="464">
        <f t="shared" ref="CS16:CS23" si="13">SUM(CC16,BI16,AO16,U16)</f>
        <v>23974565.66999992</v>
      </c>
      <c r="CT16" s="362"/>
      <c r="CU16" s="362"/>
      <c r="CV16" s="362"/>
      <c r="CW16" s="362"/>
      <c r="CX16" s="362"/>
    </row>
    <row r="17" spans="1:131" ht="15.75" customHeight="1" x14ac:dyDescent="0.25">
      <c r="A17" s="94" t="s">
        <v>233</v>
      </c>
      <c r="B17" s="343"/>
      <c r="C17" s="259"/>
      <c r="D17" s="259"/>
      <c r="E17" s="259"/>
      <c r="F17" s="259"/>
      <c r="G17" s="259"/>
      <c r="H17" s="259"/>
      <c r="I17" s="259"/>
      <c r="J17" s="259"/>
      <c r="K17" s="460">
        <f t="shared" si="1"/>
        <v>0</v>
      </c>
      <c r="L17" s="465"/>
      <c r="M17" s="257">
        <v>464075.09960000002</v>
      </c>
      <c r="N17" s="257">
        <v>0</v>
      </c>
      <c r="O17" s="257">
        <v>484495.28120000003</v>
      </c>
      <c r="P17" s="257">
        <v>0</v>
      </c>
      <c r="Q17" s="257">
        <v>506917.26960000099</v>
      </c>
      <c r="R17" s="257">
        <v>0</v>
      </c>
      <c r="S17" s="257">
        <v>529041.52419999999</v>
      </c>
      <c r="T17" s="462">
        <f t="shared" si="2"/>
        <v>1984529.174600001</v>
      </c>
      <c r="U17" s="463">
        <f t="shared" si="3"/>
        <v>1984529.174600001</v>
      </c>
      <c r="V17" s="343"/>
      <c r="W17" s="259">
        <v>0</v>
      </c>
      <c r="X17" s="259">
        <v>0</v>
      </c>
      <c r="Y17" s="259">
        <v>0</v>
      </c>
      <c r="Z17" s="259">
        <v>0</v>
      </c>
      <c r="AA17" s="259">
        <v>0</v>
      </c>
      <c r="AB17" s="259">
        <v>0</v>
      </c>
      <c r="AC17" s="259">
        <v>0</v>
      </c>
      <c r="AD17" s="259">
        <v>0</v>
      </c>
      <c r="AE17" s="460">
        <f t="shared" si="4"/>
        <v>0</v>
      </c>
      <c r="AF17" s="465"/>
      <c r="AG17" s="257">
        <v>184328.6704</v>
      </c>
      <c r="AH17" s="257">
        <v>0</v>
      </c>
      <c r="AI17" s="257">
        <v>154607.4068</v>
      </c>
      <c r="AJ17" s="257">
        <v>0</v>
      </c>
      <c r="AK17" s="257">
        <v>124847.443</v>
      </c>
      <c r="AL17" s="257">
        <v>0</v>
      </c>
      <c r="AM17" s="257">
        <v>132340.91500000001</v>
      </c>
      <c r="AN17" s="462">
        <f t="shared" si="5"/>
        <v>596124.43520000007</v>
      </c>
      <c r="AO17" s="463">
        <f t="shared" si="6"/>
        <v>596124.43520000007</v>
      </c>
      <c r="AP17" s="343"/>
      <c r="AQ17" s="259">
        <v>0</v>
      </c>
      <c r="AR17" s="259">
        <v>0</v>
      </c>
      <c r="AS17" s="259">
        <v>0</v>
      </c>
      <c r="AT17" s="259">
        <v>0</v>
      </c>
      <c r="AU17" s="259">
        <v>0</v>
      </c>
      <c r="AV17" s="259">
        <v>0</v>
      </c>
      <c r="AW17" s="259">
        <v>0</v>
      </c>
      <c r="AX17" s="259">
        <v>0</v>
      </c>
      <c r="AY17" s="460">
        <f t="shared" si="7"/>
        <v>0</v>
      </c>
      <c r="AZ17" s="465">
        <v>0</v>
      </c>
      <c r="BA17" s="257">
        <v>2734716.9402000001</v>
      </c>
      <c r="BB17" s="257">
        <v>0</v>
      </c>
      <c r="BC17" s="257">
        <v>2407097.8442000002</v>
      </c>
      <c r="BD17" s="257">
        <v>0</v>
      </c>
      <c r="BE17" s="257">
        <v>2808711.7030000002</v>
      </c>
      <c r="BF17" s="257">
        <v>0</v>
      </c>
      <c r="BG17" s="257">
        <v>2937319.4353999998</v>
      </c>
      <c r="BH17" s="462">
        <f t="shared" si="8"/>
        <v>10887845.922800001</v>
      </c>
      <c r="BI17" s="463">
        <f t="shared" si="9"/>
        <v>10887845.922800001</v>
      </c>
      <c r="BJ17" s="343"/>
      <c r="BK17" s="259">
        <v>0</v>
      </c>
      <c r="BL17" s="259">
        <v>0</v>
      </c>
      <c r="BM17" s="259">
        <v>0</v>
      </c>
      <c r="BN17" s="259">
        <v>0</v>
      </c>
      <c r="BO17" s="259">
        <v>0</v>
      </c>
      <c r="BP17" s="259">
        <v>0</v>
      </c>
      <c r="BQ17" s="259">
        <v>0</v>
      </c>
      <c r="BR17" s="259">
        <v>0</v>
      </c>
      <c r="BS17" s="460">
        <f t="shared" si="10"/>
        <v>0</v>
      </c>
      <c r="BT17" s="465">
        <v>0</v>
      </c>
      <c r="BU17" s="257">
        <v>205967.70740000001</v>
      </c>
      <c r="BV17" s="257">
        <v>0</v>
      </c>
      <c r="BW17" s="257">
        <v>171507.8302</v>
      </c>
      <c r="BX17" s="257">
        <v>0</v>
      </c>
      <c r="BY17" s="257">
        <v>137492.5692</v>
      </c>
      <c r="BZ17" s="257">
        <v>0</v>
      </c>
      <c r="CA17" s="257">
        <v>126021.49280000001</v>
      </c>
      <c r="CB17" s="462">
        <f t="shared" si="11"/>
        <v>640989.59960000007</v>
      </c>
      <c r="CC17" s="463">
        <f t="shared" si="12"/>
        <v>640989.59960000007</v>
      </c>
      <c r="CD17" s="343"/>
      <c r="CE17" s="462">
        <f t="shared" ref="CE17:CE23" si="14">+C17+D17+W17+X17+AQ17+AR17+BK17+BL17</f>
        <v>0</v>
      </c>
      <c r="CF17" s="462">
        <f t="shared" ref="CF17:CF23" si="15">+E17+F17+Y17+Z17+AS17+AT17+BM17+BN17</f>
        <v>0</v>
      </c>
      <c r="CG17" s="462">
        <f t="shared" ref="CG17:CG23" si="16">+G17+H17+AA17+AB17+AU17+AV17+BO17+BP17</f>
        <v>0</v>
      </c>
      <c r="CH17" s="462">
        <f t="shared" ref="CH17:CH23" si="17">+I17+J17+AC17+AD17+AW17+AX17+BQ17+BR17</f>
        <v>0</v>
      </c>
      <c r="CI17" s="464">
        <f t="shared" ref="CI17:CI23" si="18">SUM(K17,AE17,AY17,BS17)</f>
        <v>0</v>
      </c>
      <c r="CJ17" s="462">
        <f t="shared" ref="CJ17:CJ23" si="19">L17+M17+AF17+AG17+AZ17+BA17+BT17+BU17</f>
        <v>3589088.4176000003</v>
      </c>
      <c r="CK17" s="462">
        <f t="shared" ref="CK17:CK23" si="20">N17+O17+AH17+AI17+BB17+BC17+BV17+BW17</f>
        <v>3217708.3624000004</v>
      </c>
      <c r="CL17" s="462">
        <f t="shared" ref="CL17:CL23" si="21">P17+Q17+AJ17+AK17+BD17+BE17+BX17+BY17</f>
        <v>3577968.9848000011</v>
      </c>
      <c r="CM17" s="462">
        <f t="shared" ref="CM17:CM23" si="22">+R17+S17+AL17+AM17+BF17+BG17+BZ17+CA17</f>
        <v>3724723.3673999999</v>
      </c>
      <c r="CN17" s="464">
        <f t="shared" ref="CN17:CN23" si="23">SUM(T17,AN17,BH17,CB17)</f>
        <v>14109489.132200003</v>
      </c>
      <c r="CO17" s="462">
        <f t="shared" ref="CO17:CO23" si="24">+C17+D17+L17+M17+W17+X17+AF17+AG17+AQ17+AR17+AZ17+BA17+BK17+BL17+BT17+BU17</f>
        <v>3589088.4176000003</v>
      </c>
      <c r="CP17" s="462">
        <f t="shared" ref="CP17:CP23" si="25">+E17+F17+N17+O17+Y17+Z17+AH17+AI17+AS17+AT17+BB17+BC17+BM17+BN17+BV17+BW17</f>
        <v>3217708.3624000004</v>
      </c>
      <c r="CQ17" s="462">
        <f t="shared" ref="CQ17:CQ23" si="26">+G17+H17+P17+Q17+AA17+AB17+AJ17+AK17+AU17+AV17+BD17+BE17+BO17+BP17+BX17+BY17</f>
        <v>3577968.9848000011</v>
      </c>
      <c r="CR17" s="462">
        <f t="shared" ref="CR17:CR23" si="27">+I17+J17+R17+S17+AC17+AD17+AL17+AM17+AW17+AX17+BF17+BG17+BQ17+BR17+BZ17+CA17</f>
        <v>3724723.3673999999</v>
      </c>
      <c r="CS17" s="464">
        <f t="shared" si="13"/>
        <v>14109489.132200003</v>
      </c>
      <c r="CT17" s="362"/>
      <c r="CV17" s="362"/>
      <c r="CX17" s="362"/>
    </row>
    <row r="18" spans="1:131" ht="15.75" customHeight="1" x14ac:dyDescent="0.25">
      <c r="A18" s="94" t="s">
        <v>212</v>
      </c>
      <c r="B18" s="343"/>
      <c r="C18" s="257"/>
      <c r="D18" s="257"/>
      <c r="E18" s="257"/>
      <c r="F18" s="257"/>
      <c r="G18" s="257"/>
      <c r="H18" s="257"/>
      <c r="I18" s="257"/>
      <c r="J18" s="257"/>
      <c r="K18" s="460">
        <f t="shared" si="1"/>
        <v>0</v>
      </c>
      <c r="L18" s="465"/>
      <c r="M18" s="257">
        <v>11745.643</v>
      </c>
      <c r="N18" s="257">
        <v>0</v>
      </c>
      <c r="O18" s="257">
        <v>9307.4324000000106</v>
      </c>
      <c r="P18" s="257">
        <v>0</v>
      </c>
      <c r="Q18" s="257">
        <v>10921.874599999999</v>
      </c>
      <c r="R18" s="257">
        <v>0</v>
      </c>
      <c r="S18" s="257">
        <v>10104.368399999999</v>
      </c>
      <c r="T18" s="462">
        <f t="shared" si="2"/>
        <v>42079.318400000004</v>
      </c>
      <c r="U18" s="463">
        <f t="shared" si="3"/>
        <v>42079.318400000004</v>
      </c>
      <c r="V18" s="343"/>
      <c r="W18" s="257">
        <v>0</v>
      </c>
      <c r="X18" s="257">
        <v>0</v>
      </c>
      <c r="Y18" s="257">
        <v>0</v>
      </c>
      <c r="Z18" s="257">
        <v>0</v>
      </c>
      <c r="AA18" s="257">
        <v>0</v>
      </c>
      <c r="AB18" s="257">
        <v>0</v>
      </c>
      <c r="AC18" s="257">
        <v>0</v>
      </c>
      <c r="AD18" s="257">
        <v>0</v>
      </c>
      <c r="AE18" s="460">
        <f t="shared" si="4"/>
        <v>0</v>
      </c>
      <c r="AF18" s="465"/>
      <c r="AG18" s="257">
        <v>6834.2064</v>
      </c>
      <c r="AH18" s="257">
        <v>0</v>
      </c>
      <c r="AI18" s="257">
        <v>5054.9183999999996</v>
      </c>
      <c r="AJ18" s="257">
        <v>0</v>
      </c>
      <c r="AK18" s="257">
        <v>4357.5209999999997</v>
      </c>
      <c r="AL18" s="257">
        <v>0</v>
      </c>
      <c r="AM18" s="257">
        <v>4520.9948000000004</v>
      </c>
      <c r="AN18" s="462">
        <f t="shared" si="5"/>
        <v>20767.640599999999</v>
      </c>
      <c r="AO18" s="463">
        <f t="shared" si="6"/>
        <v>20767.640599999999</v>
      </c>
      <c r="AP18" s="343"/>
      <c r="AQ18" s="257">
        <v>0</v>
      </c>
      <c r="AR18" s="257">
        <v>0</v>
      </c>
      <c r="AS18" s="257">
        <v>0</v>
      </c>
      <c r="AT18" s="257">
        <v>0</v>
      </c>
      <c r="AU18" s="257">
        <v>0</v>
      </c>
      <c r="AV18" s="257">
        <v>0</v>
      </c>
      <c r="AW18" s="257">
        <v>0</v>
      </c>
      <c r="AX18" s="257">
        <v>0</v>
      </c>
      <c r="AY18" s="460">
        <f t="shared" si="7"/>
        <v>0</v>
      </c>
      <c r="AZ18" s="465">
        <v>0</v>
      </c>
      <c r="BA18" s="257">
        <v>88120.228000000105</v>
      </c>
      <c r="BB18" s="257">
        <v>0</v>
      </c>
      <c r="BC18" s="257">
        <v>78754.897200000298</v>
      </c>
      <c r="BD18" s="257">
        <v>0</v>
      </c>
      <c r="BE18" s="257">
        <v>88378.05620000021</v>
      </c>
      <c r="BF18" s="257">
        <v>0</v>
      </c>
      <c r="BG18" s="257">
        <v>88766.224400000399</v>
      </c>
      <c r="BH18" s="462">
        <f t="shared" si="8"/>
        <v>344019.40580000106</v>
      </c>
      <c r="BI18" s="463">
        <f t="shared" si="9"/>
        <v>344019.40580000106</v>
      </c>
      <c r="BJ18" s="343"/>
      <c r="BK18" s="257">
        <v>0</v>
      </c>
      <c r="BL18" s="257">
        <v>0</v>
      </c>
      <c r="BM18" s="257">
        <v>0</v>
      </c>
      <c r="BN18" s="257">
        <v>0</v>
      </c>
      <c r="BO18" s="257">
        <v>0</v>
      </c>
      <c r="BP18" s="257">
        <v>0</v>
      </c>
      <c r="BQ18" s="257">
        <v>0</v>
      </c>
      <c r="BR18" s="257">
        <v>0</v>
      </c>
      <c r="BS18" s="460">
        <f t="shared" si="10"/>
        <v>0</v>
      </c>
      <c r="BT18" s="465">
        <v>0</v>
      </c>
      <c r="BU18" s="257">
        <v>5396.9776000000002</v>
      </c>
      <c r="BV18" s="257">
        <v>0</v>
      </c>
      <c r="BW18" s="257">
        <v>3624.5202000000004</v>
      </c>
      <c r="BX18" s="257">
        <v>0</v>
      </c>
      <c r="BY18" s="257">
        <v>3548.6682000000001</v>
      </c>
      <c r="BZ18" s="257">
        <v>0</v>
      </c>
      <c r="CA18" s="257">
        <v>2868.4697999999999</v>
      </c>
      <c r="CB18" s="462">
        <f t="shared" si="11"/>
        <v>15438.6358</v>
      </c>
      <c r="CC18" s="463">
        <f t="shared" si="12"/>
        <v>15438.6358</v>
      </c>
      <c r="CD18" s="343"/>
      <c r="CE18" s="462">
        <f t="shared" si="14"/>
        <v>0</v>
      </c>
      <c r="CF18" s="462">
        <f t="shared" si="15"/>
        <v>0</v>
      </c>
      <c r="CG18" s="462">
        <f t="shared" si="16"/>
        <v>0</v>
      </c>
      <c r="CH18" s="462">
        <f t="shared" si="17"/>
        <v>0</v>
      </c>
      <c r="CI18" s="464">
        <f t="shared" si="18"/>
        <v>0</v>
      </c>
      <c r="CJ18" s="462">
        <f t="shared" si="19"/>
        <v>112097.05500000009</v>
      </c>
      <c r="CK18" s="462">
        <f t="shared" si="20"/>
        <v>96741.768200000311</v>
      </c>
      <c r="CL18" s="462">
        <f t="shared" si="21"/>
        <v>107206.12000000021</v>
      </c>
      <c r="CM18" s="462">
        <f t="shared" si="22"/>
        <v>106260.05740000041</v>
      </c>
      <c r="CN18" s="464">
        <f t="shared" si="23"/>
        <v>422305.00060000102</v>
      </c>
      <c r="CO18" s="462">
        <f t="shared" si="24"/>
        <v>112097.05500000009</v>
      </c>
      <c r="CP18" s="462">
        <f t="shared" si="25"/>
        <v>96741.768200000311</v>
      </c>
      <c r="CQ18" s="462">
        <f t="shared" si="26"/>
        <v>107206.12000000021</v>
      </c>
      <c r="CR18" s="462">
        <f t="shared" si="27"/>
        <v>106260.05740000041</v>
      </c>
      <c r="CS18" s="464">
        <f t="shared" si="13"/>
        <v>422305.00060000102</v>
      </c>
      <c r="CV18" s="362"/>
      <c r="CX18" s="362"/>
    </row>
    <row r="19" spans="1:131" ht="15.75" customHeight="1" x14ac:dyDescent="0.25">
      <c r="A19" s="94" t="s">
        <v>213</v>
      </c>
      <c r="B19" s="343"/>
      <c r="C19" s="257"/>
      <c r="D19" s="257"/>
      <c r="E19" s="257"/>
      <c r="F19" s="257"/>
      <c r="G19" s="257"/>
      <c r="H19" s="257"/>
      <c r="I19" s="257"/>
      <c r="J19" s="257"/>
      <c r="K19" s="460">
        <f t="shared" si="1"/>
        <v>0</v>
      </c>
      <c r="L19" s="465"/>
      <c r="M19" s="257">
        <v>42567</v>
      </c>
      <c r="N19" s="257">
        <v>0</v>
      </c>
      <c r="O19" s="257">
        <v>46965</v>
      </c>
      <c r="P19" s="257">
        <v>0</v>
      </c>
      <c r="Q19" s="257">
        <v>73667</v>
      </c>
      <c r="R19" s="257">
        <v>0</v>
      </c>
      <c r="S19" s="257">
        <v>95796</v>
      </c>
      <c r="T19" s="462">
        <f t="shared" si="2"/>
        <v>258995</v>
      </c>
      <c r="U19" s="463">
        <f t="shared" si="3"/>
        <v>258995</v>
      </c>
      <c r="V19" s="343"/>
      <c r="W19" s="257"/>
      <c r="X19" s="257"/>
      <c r="Y19" s="257"/>
      <c r="Z19" s="257"/>
      <c r="AA19" s="257"/>
      <c r="AB19" s="257"/>
      <c r="AC19" s="257"/>
      <c r="AD19" s="257"/>
      <c r="AE19" s="460">
        <f t="shared" si="4"/>
        <v>0</v>
      </c>
      <c r="AF19" s="465"/>
      <c r="AG19" s="257">
        <v>23717</v>
      </c>
      <c r="AH19" s="257">
        <v>0</v>
      </c>
      <c r="AI19" s="257">
        <v>18639</v>
      </c>
      <c r="AJ19" s="257">
        <v>0</v>
      </c>
      <c r="AK19" s="257">
        <v>49062</v>
      </c>
      <c r="AL19" s="257">
        <v>0</v>
      </c>
      <c r="AM19" s="257">
        <v>47176</v>
      </c>
      <c r="AN19" s="462">
        <f t="shared" si="5"/>
        <v>138594</v>
      </c>
      <c r="AO19" s="463">
        <f t="shared" si="6"/>
        <v>138594</v>
      </c>
      <c r="AP19" s="343"/>
      <c r="AQ19" s="257">
        <v>0</v>
      </c>
      <c r="AR19" s="257">
        <v>0</v>
      </c>
      <c r="AS19" s="257">
        <v>0</v>
      </c>
      <c r="AT19" s="257">
        <v>0</v>
      </c>
      <c r="AU19" s="257">
        <v>0</v>
      </c>
      <c r="AV19" s="257">
        <v>0</v>
      </c>
      <c r="AW19" s="257">
        <v>0</v>
      </c>
      <c r="AX19" s="257">
        <v>0</v>
      </c>
      <c r="AY19" s="460">
        <f t="shared" si="7"/>
        <v>0</v>
      </c>
      <c r="AZ19" s="465">
        <v>0</v>
      </c>
      <c r="BA19" s="257">
        <v>463629</v>
      </c>
      <c r="BB19" s="257">
        <v>0</v>
      </c>
      <c r="BC19" s="257">
        <v>616697</v>
      </c>
      <c r="BD19" s="257">
        <v>0</v>
      </c>
      <c r="BE19" s="257">
        <v>651078</v>
      </c>
      <c r="BF19" s="257">
        <v>0</v>
      </c>
      <c r="BG19" s="257">
        <v>672032</v>
      </c>
      <c r="BH19" s="462">
        <f t="shared" si="8"/>
        <v>2403436</v>
      </c>
      <c r="BI19" s="463">
        <f t="shared" si="9"/>
        <v>2403436</v>
      </c>
      <c r="BJ19" s="343"/>
      <c r="BK19" s="257">
        <v>0</v>
      </c>
      <c r="BL19" s="257">
        <v>0</v>
      </c>
      <c r="BM19" s="257">
        <v>0</v>
      </c>
      <c r="BN19" s="257">
        <v>0</v>
      </c>
      <c r="BO19" s="257">
        <v>0</v>
      </c>
      <c r="BP19" s="257">
        <v>0</v>
      </c>
      <c r="BQ19" s="257">
        <v>0</v>
      </c>
      <c r="BR19" s="257">
        <v>0</v>
      </c>
      <c r="BS19" s="460">
        <f t="shared" si="10"/>
        <v>0</v>
      </c>
      <c r="BT19" s="465">
        <v>0</v>
      </c>
      <c r="BU19" s="257">
        <v>13369</v>
      </c>
      <c r="BV19" s="257">
        <v>0</v>
      </c>
      <c r="BW19" s="257">
        <v>16568</v>
      </c>
      <c r="BX19" s="257">
        <v>0</v>
      </c>
      <c r="BY19" s="257">
        <v>17746</v>
      </c>
      <c r="BZ19" s="257">
        <v>0</v>
      </c>
      <c r="CA19" s="257">
        <v>16480</v>
      </c>
      <c r="CB19" s="462">
        <f t="shared" si="11"/>
        <v>64163</v>
      </c>
      <c r="CC19" s="463">
        <f t="shared" si="12"/>
        <v>64163</v>
      </c>
      <c r="CD19" s="343"/>
      <c r="CE19" s="462">
        <f t="shared" si="14"/>
        <v>0</v>
      </c>
      <c r="CF19" s="462">
        <f t="shared" si="15"/>
        <v>0</v>
      </c>
      <c r="CG19" s="462">
        <f t="shared" si="16"/>
        <v>0</v>
      </c>
      <c r="CH19" s="462">
        <f t="shared" si="17"/>
        <v>0</v>
      </c>
      <c r="CI19" s="464">
        <f t="shared" si="18"/>
        <v>0</v>
      </c>
      <c r="CJ19" s="462">
        <f t="shared" si="19"/>
        <v>543282</v>
      </c>
      <c r="CK19" s="462">
        <f t="shared" si="20"/>
        <v>698869</v>
      </c>
      <c r="CL19" s="462">
        <f t="shared" si="21"/>
        <v>791553</v>
      </c>
      <c r="CM19" s="462">
        <f t="shared" si="22"/>
        <v>831484</v>
      </c>
      <c r="CN19" s="464">
        <f t="shared" si="23"/>
        <v>2865188</v>
      </c>
      <c r="CO19" s="462">
        <f t="shared" si="24"/>
        <v>543282</v>
      </c>
      <c r="CP19" s="462">
        <f t="shared" si="25"/>
        <v>698869</v>
      </c>
      <c r="CQ19" s="462">
        <f t="shared" si="26"/>
        <v>791553</v>
      </c>
      <c r="CR19" s="462">
        <f t="shared" si="27"/>
        <v>831484</v>
      </c>
      <c r="CS19" s="464">
        <f t="shared" si="13"/>
        <v>2865188</v>
      </c>
    </row>
    <row r="20" spans="1:131" ht="15.75" customHeight="1" x14ac:dyDescent="0.25">
      <c r="A20" s="148" t="s">
        <v>210</v>
      </c>
      <c r="B20" s="343">
        <v>2</v>
      </c>
      <c r="C20" s="258">
        <f t="shared" ref="C20:J20" si="28">SUM(C17:C19)</f>
        <v>0</v>
      </c>
      <c r="D20" s="258">
        <f t="shared" si="28"/>
        <v>0</v>
      </c>
      <c r="E20" s="258">
        <f t="shared" si="28"/>
        <v>0</v>
      </c>
      <c r="F20" s="258">
        <f t="shared" si="28"/>
        <v>0</v>
      </c>
      <c r="G20" s="258">
        <f t="shared" si="28"/>
        <v>0</v>
      </c>
      <c r="H20" s="258">
        <f t="shared" si="28"/>
        <v>0</v>
      </c>
      <c r="I20" s="258">
        <f t="shared" si="28"/>
        <v>0</v>
      </c>
      <c r="J20" s="258">
        <f t="shared" si="28"/>
        <v>0</v>
      </c>
      <c r="K20" s="460">
        <f t="shared" si="1"/>
        <v>0</v>
      </c>
      <c r="L20" s="466">
        <f t="shared" ref="L20:S20" si="29">SUM(L17:L19)</f>
        <v>0</v>
      </c>
      <c r="M20" s="258">
        <f t="shared" si="29"/>
        <v>518387.7426</v>
      </c>
      <c r="N20" s="258">
        <f t="shared" si="29"/>
        <v>0</v>
      </c>
      <c r="O20" s="258">
        <f t="shared" si="29"/>
        <v>540767.71360000002</v>
      </c>
      <c r="P20" s="258">
        <f t="shared" si="29"/>
        <v>0</v>
      </c>
      <c r="Q20" s="258">
        <f t="shared" si="29"/>
        <v>591506.14420000091</v>
      </c>
      <c r="R20" s="258">
        <f t="shared" si="29"/>
        <v>0</v>
      </c>
      <c r="S20" s="258">
        <f t="shared" si="29"/>
        <v>634941.89260000002</v>
      </c>
      <c r="T20" s="462">
        <f t="shared" si="2"/>
        <v>2285603.4930000007</v>
      </c>
      <c r="U20" s="463">
        <f t="shared" si="3"/>
        <v>2285603.4930000007</v>
      </c>
      <c r="V20" s="343">
        <v>2</v>
      </c>
      <c r="W20" s="258">
        <f t="shared" ref="W20:AD20" si="30">SUM(W17:W19)</f>
        <v>0</v>
      </c>
      <c r="X20" s="258">
        <f t="shared" si="30"/>
        <v>0</v>
      </c>
      <c r="Y20" s="258">
        <f t="shared" si="30"/>
        <v>0</v>
      </c>
      <c r="Z20" s="258">
        <f t="shared" si="30"/>
        <v>0</v>
      </c>
      <c r="AA20" s="258">
        <f t="shared" si="30"/>
        <v>0</v>
      </c>
      <c r="AB20" s="258">
        <f t="shared" si="30"/>
        <v>0</v>
      </c>
      <c r="AC20" s="258">
        <f t="shared" si="30"/>
        <v>0</v>
      </c>
      <c r="AD20" s="258">
        <f t="shared" si="30"/>
        <v>0</v>
      </c>
      <c r="AE20" s="460">
        <f t="shared" si="4"/>
        <v>0</v>
      </c>
      <c r="AF20" s="466">
        <f t="shared" ref="AF20:AM20" si="31">SUM(AF17:AF19)</f>
        <v>0</v>
      </c>
      <c r="AG20" s="258">
        <f t="shared" si="31"/>
        <v>214879.8768</v>
      </c>
      <c r="AH20" s="258">
        <f t="shared" si="31"/>
        <v>0</v>
      </c>
      <c r="AI20" s="258">
        <f t="shared" si="31"/>
        <v>178301.32519999999</v>
      </c>
      <c r="AJ20" s="258">
        <f t="shared" si="31"/>
        <v>0</v>
      </c>
      <c r="AK20" s="258">
        <f t="shared" si="31"/>
        <v>178266.96399999998</v>
      </c>
      <c r="AL20" s="258">
        <f t="shared" si="31"/>
        <v>0</v>
      </c>
      <c r="AM20" s="258">
        <f t="shared" si="31"/>
        <v>184037.90980000002</v>
      </c>
      <c r="AN20" s="462">
        <f t="shared" si="5"/>
        <v>755486.07579999999</v>
      </c>
      <c r="AO20" s="463">
        <f t="shared" si="6"/>
        <v>755486.07579999999</v>
      </c>
      <c r="AP20" s="343">
        <v>2</v>
      </c>
      <c r="AQ20" s="258">
        <f t="shared" ref="AQ20:AX20" si="32">SUM(AQ17:AQ19)</f>
        <v>0</v>
      </c>
      <c r="AR20" s="258">
        <f t="shared" si="32"/>
        <v>0</v>
      </c>
      <c r="AS20" s="258">
        <f t="shared" si="32"/>
        <v>0</v>
      </c>
      <c r="AT20" s="258">
        <f t="shared" si="32"/>
        <v>0</v>
      </c>
      <c r="AU20" s="258">
        <f t="shared" si="32"/>
        <v>0</v>
      </c>
      <c r="AV20" s="258">
        <f t="shared" si="32"/>
        <v>0</v>
      </c>
      <c r="AW20" s="258">
        <f t="shared" si="32"/>
        <v>0</v>
      </c>
      <c r="AX20" s="258">
        <f t="shared" si="32"/>
        <v>0</v>
      </c>
      <c r="AY20" s="460">
        <f t="shared" si="7"/>
        <v>0</v>
      </c>
      <c r="AZ20" s="466">
        <f t="shared" ref="AZ20:BG20" si="33">SUM(AZ17:AZ19)</f>
        <v>0</v>
      </c>
      <c r="BA20" s="258">
        <f t="shared" si="33"/>
        <v>3286466.1682000002</v>
      </c>
      <c r="BB20" s="258">
        <f t="shared" si="33"/>
        <v>0</v>
      </c>
      <c r="BC20" s="258">
        <f t="shared" si="33"/>
        <v>3102549.7414000006</v>
      </c>
      <c r="BD20" s="258">
        <f t="shared" si="33"/>
        <v>0</v>
      </c>
      <c r="BE20" s="258">
        <f t="shared" si="33"/>
        <v>3548167.7592000002</v>
      </c>
      <c r="BF20" s="258">
        <f t="shared" si="33"/>
        <v>0</v>
      </c>
      <c r="BG20" s="258">
        <f t="shared" si="33"/>
        <v>3698117.6598</v>
      </c>
      <c r="BH20" s="462">
        <f t="shared" si="8"/>
        <v>13635301.328600001</v>
      </c>
      <c r="BI20" s="463">
        <f t="shared" si="9"/>
        <v>13635301.328600001</v>
      </c>
      <c r="BJ20" s="343">
        <v>2</v>
      </c>
      <c r="BK20" s="258">
        <f t="shared" ref="BK20:BR20" si="34">SUM(BK17:BK19)</f>
        <v>0</v>
      </c>
      <c r="BL20" s="258">
        <f t="shared" si="34"/>
        <v>0</v>
      </c>
      <c r="BM20" s="258">
        <f t="shared" si="34"/>
        <v>0</v>
      </c>
      <c r="BN20" s="258">
        <f t="shared" si="34"/>
        <v>0</v>
      </c>
      <c r="BO20" s="258">
        <f t="shared" si="34"/>
        <v>0</v>
      </c>
      <c r="BP20" s="258">
        <f t="shared" si="34"/>
        <v>0</v>
      </c>
      <c r="BQ20" s="258">
        <f t="shared" si="34"/>
        <v>0</v>
      </c>
      <c r="BR20" s="258">
        <f t="shared" si="34"/>
        <v>0</v>
      </c>
      <c r="BS20" s="460">
        <f t="shared" si="10"/>
        <v>0</v>
      </c>
      <c r="BT20" s="466">
        <f t="shared" ref="BT20:CA20" si="35">SUM(BT17:BT19)</f>
        <v>0</v>
      </c>
      <c r="BU20" s="258">
        <f t="shared" si="35"/>
        <v>224733.68500000003</v>
      </c>
      <c r="BV20" s="258">
        <f t="shared" si="35"/>
        <v>0</v>
      </c>
      <c r="BW20" s="258">
        <f t="shared" si="35"/>
        <v>191700.3504</v>
      </c>
      <c r="BX20" s="258">
        <f t="shared" si="35"/>
        <v>0</v>
      </c>
      <c r="BY20" s="258">
        <f t="shared" si="35"/>
        <v>158787.23739999998</v>
      </c>
      <c r="BZ20" s="258">
        <f t="shared" si="35"/>
        <v>0</v>
      </c>
      <c r="CA20" s="258">
        <f t="shared" si="35"/>
        <v>145369.96260000003</v>
      </c>
      <c r="CB20" s="462">
        <f t="shared" si="11"/>
        <v>720591.23540000012</v>
      </c>
      <c r="CC20" s="463">
        <f t="shared" si="12"/>
        <v>720591.23540000012</v>
      </c>
      <c r="CD20" s="343">
        <v>2</v>
      </c>
      <c r="CE20" s="462">
        <f t="shared" si="14"/>
        <v>0</v>
      </c>
      <c r="CF20" s="462">
        <f t="shared" si="15"/>
        <v>0</v>
      </c>
      <c r="CG20" s="462">
        <f t="shared" si="16"/>
        <v>0</v>
      </c>
      <c r="CH20" s="462">
        <f t="shared" si="17"/>
        <v>0</v>
      </c>
      <c r="CI20" s="464">
        <f t="shared" si="18"/>
        <v>0</v>
      </c>
      <c r="CJ20" s="462">
        <f t="shared" si="19"/>
        <v>4244467.4726</v>
      </c>
      <c r="CK20" s="462">
        <f t="shared" si="20"/>
        <v>4013319.1306000007</v>
      </c>
      <c r="CL20" s="462">
        <f t="shared" si="21"/>
        <v>4476728.1048000008</v>
      </c>
      <c r="CM20" s="462">
        <f t="shared" si="22"/>
        <v>4662467.4248000002</v>
      </c>
      <c r="CN20" s="464">
        <f t="shared" si="23"/>
        <v>17396982.132800002</v>
      </c>
      <c r="CO20" s="462">
        <f t="shared" si="24"/>
        <v>4244467.4726</v>
      </c>
      <c r="CP20" s="462">
        <f t="shared" si="25"/>
        <v>4013319.1306000007</v>
      </c>
      <c r="CQ20" s="462">
        <f t="shared" si="26"/>
        <v>4476728.1048000008</v>
      </c>
      <c r="CR20" s="462">
        <f t="shared" si="27"/>
        <v>4662467.4248000002</v>
      </c>
      <c r="CS20" s="464">
        <f t="shared" si="13"/>
        <v>17396982.132800002</v>
      </c>
      <c r="CT20" s="362"/>
      <c r="CU20" s="362"/>
      <c r="CV20" s="362"/>
      <c r="CW20" s="362"/>
      <c r="CX20" s="362"/>
    </row>
    <row r="21" spans="1:131" ht="15.75" customHeight="1" x14ac:dyDescent="0.25">
      <c r="A21" s="94" t="s">
        <v>208</v>
      </c>
      <c r="B21" s="343">
        <v>3</v>
      </c>
      <c r="C21" s="257"/>
      <c r="D21" s="257"/>
      <c r="E21" s="257"/>
      <c r="F21" s="257"/>
      <c r="G21" s="257"/>
      <c r="H21" s="257"/>
      <c r="I21" s="257"/>
      <c r="J21" s="257"/>
      <c r="K21" s="460">
        <f t="shared" si="1"/>
        <v>0</v>
      </c>
      <c r="L21" s="465"/>
      <c r="M21" s="257"/>
      <c r="N21" s="257"/>
      <c r="O21" s="257"/>
      <c r="P21" s="257"/>
      <c r="Q21" s="257"/>
      <c r="R21" s="257"/>
      <c r="S21" s="257"/>
      <c r="T21" s="462">
        <f t="shared" si="2"/>
        <v>0</v>
      </c>
      <c r="U21" s="463">
        <f t="shared" si="3"/>
        <v>0</v>
      </c>
      <c r="V21" s="343">
        <v>3</v>
      </c>
      <c r="W21" s="257"/>
      <c r="X21" s="257"/>
      <c r="Y21" s="257"/>
      <c r="Z21" s="257"/>
      <c r="AA21" s="257"/>
      <c r="AB21" s="257"/>
      <c r="AC21" s="257"/>
      <c r="AD21" s="257"/>
      <c r="AE21" s="460">
        <f t="shared" si="4"/>
        <v>0</v>
      </c>
      <c r="AF21" s="465"/>
      <c r="AG21" s="257"/>
      <c r="AH21" s="257"/>
      <c r="AI21" s="257"/>
      <c r="AJ21" s="257"/>
      <c r="AK21" s="257"/>
      <c r="AL21" s="257"/>
      <c r="AM21" s="257"/>
      <c r="AN21" s="462">
        <f t="shared" si="5"/>
        <v>0</v>
      </c>
      <c r="AO21" s="463">
        <f t="shared" si="6"/>
        <v>0</v>
      </c>
      <c r="AP21" s="343">
        <v>3</v>
      </c>
      <c r="AQ21" s="257"/>
      <c r="AR21" s="257"/>
      <c r="AS21" s="257"/>
      <c r="AT21" s="257"/>
      <c r="AU21" s="257"/>
      <c r="AV21" s="257"/>
      <c r="AW21" s="257"/>
      <c r="AX21" s="257"/>
      <c r="AY21" s="460">
        <f t="shared" si="7"/>
        <v>0</v>
      </c>
      <c r="AZ21" s="465"/>
      <c r="BA21" s="257"/>
      <c r="BB21" s="257"/>
      <c r="BC21" s="257"/>
      <c r="BD21" s="257"/>
      <c r="BE21" s="257"/>
      <c r="BF21" s="257"/>
      <c r="BG21" s="257"/>
      <c r="BH21" s="462">
        <f t="shared" si="8"/>
        <v>0</v>
      </c>
      <c r="BI21" s="463">
        <f t="shared" si="9"/>
        <v>0</v>
      </c>
      <c r="BJ21" s="343">
        <v>3</v>
      </c>
      <c r="BK21" s="257"/>
      <c r="BL21" s="257"/>
      <c r="BM21" s="257"/>
      <c r="BN21" s="257"/>
      <c r="BO21" s="257"/>
      <c r="BP21" s="257"/>
      <c r="BQ21" s="257"/>
      <c r="BR21" s="257"/>
      <c r="BS21" s="460">
        <f t="shared" si="10"/>
        <v>0</v>
      </c>
      <c r="BT21" s="465"/>
      <c r="BU21" s="257"/>
      <c r="BV21" s="257"/>
      <c r="BW21" s="257"/>
      <c r="BX21" s="257"/>
      <c r="BY21" s="257"/>
      <c r="BZ21" s="257"/>
      <c r="CA21" s="257"/>
      <c r="CB21" s="462">
        <f t="shared" si="11"/>
        <v>0</v>
      </c>
      <c r="CC21" s="463">
        <f t="shared" si="12"/>
        <v>0</v>
      </c>
      <c r="CD21" s="343">
        <v>3</v>
      </c>
      <c r="CE21" s="462">
        <f t="shared" si="14"/>
        <v>0</v>
      </c>
      <c r="CF21" s="462">
        <f t="shared" si="15"/>
        <v>0</v>
      </c>
      <c r="CG21" s="462">
        <f t="shared" si="16"/>
        <v>0</v>
      </c>
      <c r="CH21" s="462">
        <f t="shared" si="17"/>
        <v>0</v>
      </c>
      <c r="CI21" s="464">
        <f t="shared" si="18"/>
        <v>0</v>
      </c>
      <c r="CJ21" s="462">
        <f t="shared" si="19"/>
        <v>0</v>
      </c>
      <c r="CK21" s="462">
        <f t="shared" si="20"/>
        <v>0</v>
      </c>
      <c r="CL21" s="462">
        <f t="shared" si="21"/>
        <v>0</v>
      </c>
      <c r="CM21" s="462">
        <f t="shared" si="22"/>
        <v>0</v>
      </c>
      <c r="CN21" s="464">
        <f t="shared" si="23"/>
        <v>0</v>
      </c>
      <c r="CO21" s="462">
        <f t="shared" si="24"/>
        <v>0</v>
      </c>
      <c r="CP21" s="462">
        <f t="shared" si="25"/>
        <v>0</v>
      </c>
      <c r="CQ21" s="462">
        <f t="shared" si="26"/>
        <v>0</v>
      </c>
      <c r="CR21" s="462">
        <f t="shared" si="27"/>
        <v>0</v>
      </c>
      <c r="CS21" s="464">
        <f t="shared" si="13"/>
        <v>0</v>
      </c>
      <c r="CT21" s="362"/>
      <c r="CV21" s="362"/>
      <c r="CX21" s="362"/>
    </row>
    <row r="22" spans="1:131" ht="15.75" customHeight="1" x14ac:dyDescent="0.25">
      <c r="A22" s="94" t="s">
        <v>209</v>
      </c>
      <c r="B22" s="343">
        <v>4</v>
      </c>
      <c r="C22" s="257">
        <v>0</v>
      </c>
      <c r="D22" s="257">
        <v>0</v>
      </c>
      <c r="E22" s="257">
        <v>0</v>
      </c>
      <c r="F22" s="257">
        <v>0</v>
      </c>
      <c r="G22" s="257">
        <v>0</v>
      </c>
      <c r="H22" s="257">
        <v>0</v>
      </c>
      <c r="I22" s="257">
        <v>0</v>
      </c>
      <c r="J22" s="257">
        <v>0</v>
      </c>
      <c r="K22" s="460">
        <f t="shared" si="1"/>
        <v>0</v>
      </c>
      <c r="L22" s="465">
        <v>0</v>
      </c>
      <c r="M22" s="257">
        <v>7407.8979441906959</v>
      </c>
      <c r="N22" s="257">
        <v>0</v>
      </c>
      <c r="O22" s="257">
        <v>5850.6242233192152</v>
      </c>
      <c r="P22" s="257">
        <v>0</v>
      </c>
      <c r="Q22" s="257">
        <v>6875.754530423018</v>
      </c>
      <c r="R22" s="257">
        <v>0</v>
      </c>
      <c r="S22" s="257">
        <v>6351.064127204605</v>
      </c>
      <c r="T22" s="462">
        <f t="shared" si="2"/>
        <v>26485.340825137533</v>
      </c>
      <c r="U22" s="463">
        <f t="shared" si="3"/>
        <v>26485.340825137533</v>
      </c>
      <c r="V22" s="343">
        <v>4</v>
      </c>
      <c r="W22" s="257">
        <v>0</v>
      </c>
      <c r="X22" s="257">
        <v>0</v>
      </c>
      <c r="Y22" s="257">
        <v>0</v>
      </c>
      <c r="Z22" s="257">
        <v>0</v>
      </c>
      <c r="AA22" s="257">
        <v>0</v>
      </c>
      <c r="AB22" s="257">
        <v>0</v>
      </c>
      <c r="AC22" s="257">
        <v>0</v>
      </c>
      <c r="AD22" s="257">
        <v>0</v>
      </c>
      <c r="AE22" s="460">
        <f t="shared" si="4"/>
        <v>0</v>
      </c>
      <c r="AF22" s="465">
        <v>0</v>
      </c>
      <c r="AG22" s="257">
        <v>4324.6080690608906</v>
      </c>
      <c r="AH22" s="257">
        <v>0</v>
      </c>
      <c r="AI22" s="257">
        <v>3195.64199839306</v>
      </c>
      <c r="AJ22" s="257">
        <v>0</v>
      </c>
      <c r="AK22" s="257">
        <v>2756.1667138284806</v>
      </c>
      <c r="AL22" s="257">
        <v>0</v>
      </c>
      <c r="AM22" s="257">
        <v>2859.0956556668198</v>
      </c>
      <c r="AN22" s="462">
        <f t="shared" si="5"/>
        <v>13135.512436949251</v>
      </c>
      <c r="AO22" s="463">
        <f t="shared" si="6"/>
        <v>13135.512436949251</v>
      </c>
      <c r="AP22" s="343">
        <v>4</v>
      </c>
      <c r="AQ22" s="257">
        <v>0</v>
      </c>
      <c r="AR22" s="257">
        <v>0</v>
      </c>
      <c r="AS22" s="257">
        <v>0</v>
      </c>
      <c r="AT22" s="257">
        <v>0</v>
      </c>
      <c r="AU22" s="257">
        <v>0</v>
      </c>
      <c r="AV22" s="257">
        <v>0</v>
      </c>
      <c r="AW22" s="257">
        <v>0</v>
      </c>
      <c r="AX22" s="257">
        <v>0</v>
      </c>
      <c r="AY22" s="460">
        <f t="shared" si="7"/>
        <v>0</v>
      </c>
      <c r="AZ22" s="465">
        <v>0</v>
      </c>
      <c r="BA22" s="257">
        <v>55701.655792838501</v>
      </c>
      <c r="BB22" s="257">
        <v>0</v>
      </c>
      <c r="BC22" s="257">
        <v>49787.917841065304</v>
      </c>
      <c r="BD22" s="257">
        <v>0</v>
      </c>
      <c r="BE22" s="257">
        <v>55853.603474362775</v>
      </c>
      <c r="BF22" s="257">
        <v>0</v>
      </c>
      <c r="BG22" s="257">
        <v>56079.490004636595</v>
      </c>
      <c r="BH22" s="462">
        <f t="shared" si="8"/>
        <v>217422.6671129032</v>
      </c>
      <c r="BI22" s="463">
        <f t="shared" si="9"/>
        <v>217422.6671129032</v>
      </c>
      <c r="BJ22" s="343">
        <v>4</v>
      </c>
      <c r="BK22" s="257">
        <v>0</v>
      </c>
      <c r="BL22" s="257">
        <v>0</v>
      </c>
      <c r="BM22" s="257">
        <v>0</v>
      </c>
      <c r="BN22" s="257">
        <v>0</v>
      </c>
      <c r="BO22" s="257">
        <v>0</v>
      </c>
      <c r="BP22" s="257">
        <v>0</v>
      </c>
      <c r="BQ22" s="257">
        <v>0</v>
      </c>
      <c r="BR22" s="257">
        <v>0</v>
      </c>
      <c r="BS22" s="460">
        <f t="shared" si="10"/>
        <v>0</v>
      </c>
      <c r="BT22" s="465">
        <v>0</v>
      </c>
      <c r="BU22" s="257">
        <v>3405.0521490456313</v>
      </c>
      <c r="BV22" s="257">
        <v>0</v>
      </c>
      <c r="BW22" s="257">
        <v>2281.2310529174392</v>
      </c>
      <c r="BX22" s="257">
        <v>0</v>
      </c>
      <c r="BY22" s="257">
        <v>2238.5751275647235</v>
      </c>
      <c r="BZ22" s="257">
        <v>0</v>
      </c>
      <c r="CA22" s="257">
        <v>1807.00446720473</v>
      </c>
      <c r="CB22" s="462">
        <f t="shared" si="11"/>
        <v>9731.8627967325247</v>
      </c>
      <c r="CC22" s="463">
        <f t="shared" si="12"/>
        <v>9731.8627967325247</v>
      </c>
      <c r="CD22" s="343">
        <v>4</v>
      </c>
      <c r="CE22" s="462">
        <f t="shared" si="14"/>
        <v>0</v>
      </c>
      <c r="CF22" s="462">
        <f t="shared" si="15"/>
        <v>0</v>
      </c>
      <c r="CG22" s="462">
        <f t="shared" si="16"/>
        <v>0</v>
      </c>
      <c r="CH22" s="462">
        <f t="shared" si="17"/>
        <v>0</v>
      </c>
      <c r="CI22" s="464">
        <f t="shared" si="18"/>
        <v>0</v>
      </c>
      <c r="CJ22" s="462">
        <f t="shared" si="19"/>
        <v>70839.213955135725</v>
      </c>
      <c r="CK22" s="462">
        <f t="shared" si="20"/>
        <v>61115.415115695025</v>
      </c>
      <c r="CL22" s="462">
        <f t="shared" si="21"/>
        <v>67724.099846179</v>
      </c>
      <c r="CM22" s="462">
        <f t="shared" si="22"/>
        <v>67096.654254712761</v>
      </c>
      <c r="CN22" s="464">
        <f t="shared" si="23"/>
        <v>266775.38317172253</v>
      </c>
      <c r="CO22" s="462">
        <f t="shared" si="24"/>
        <v>70839.213955135725</v>
      </c>
      <c r="CP22" s="462">
        <f t="shared" si="25"/>
        <v>61115.415115695025</v>
      </c>
      <c r="CQ22" s="462">
        <f t="shared" si="26"/>
        <v>67724.099846179</v>
      </c>
      <c r="CR22" s="462">
        <f t="shared" si="27"/>
        <v>67096.654254712761</v>
      </c>
      <c r="CS22" s="464">
        <f t="shared" si="13"/>
        <v>266775.38317172247</v>
      </c>
      <c r="CT22" s="362"/>
      <c r="CV22" s="362"/>
      <c r="CX22" s="362"/>
    </row>
    <row r="23" spans="1:131" ht="15.75" customHeight="1" x14ac:dyDescent="0.25">
      <c r="A23" s="148" t="s">
        <v>44</v>
      </c>
      <c r="B23" s="343">
        <v>5</v>
      </c>
      <c r="C23" s="150">
        <f t="shared" ref="C23:J23" si="36">C16+C20+C21+C22</f>
        <v>49112.26</v>
      </c>
      <c r="D23" s="150">
        <f t="shared" si="36"/>
        <v>170821.54</v>
      </c>
      <c r="E23" s="150">
        <f t="shared" si="36"/>
        <v>46845.760000000002</v>
      </c>
      <c r="F23" s="150">
        <f t="shared" si="36"/>
        <v>184600.87</v>
      </c>
      <c r="G23" s="150">
        <f t="shared" si="36"/>
        <v>49078.74</v>
      </c>
      <c r="H23" s="150">
        <f t="shared" si="36"/>
        <v>209230.730000001</v>
      </c>
      <c r="I23" s="150">
        <f t="shared" si="36"/>
        <v>55551.360000000102</v>
      </c>
      <c r="J23" s="150">
        <f t="shared" si="36"/>
        <v>221959.320000001</v>
      </c>
      <c r="K23" s="460">
        <f t="shared" si="1"/>
        <v>987200.58000000205</v>
      </c>
      <c r="L23" s="237">
        <f t="shared" ref="L23:S23" si="37">L16+L20+L21+L22</f>
        <v>0</v>
      </c>
      <c r="M23" s="150">
        <f t="shared" si="37"/>
        <v>525795.64054419065</v>
      </c>
      <c r="N23" s="150">
        <f t="shared" si="37"/>
        <v>0</v>
      </c>
      <c r="O23" s="150">
        <f t="shared" si="37"/>
        <v>546618.33782331925</v>
      </c>
      <c r="P23" s="150">
        <f t="shared" si="37"/>
        <v>0</v>
      </c>
      <c r="Q23" s="150">
        <f t="shared" si="37"/>
        <v>598381.89873042388</v>
      </c>
      <c r="R23" s="150">
        <f t="shared" si="37"/>
        <v>0</v>
      </c>
      <c r="S23" s="150">
        <f t="shared" si="37"/>
        <v>641292.95672720461</v>
      </c>
      <c r="T23" s="462">
        <f t="shared" si="2"/>
        <v>2312088.8338251384</v>
      </c>
      <c r="U23" s="237">
        <f t="shared" si="3"/>
        <v>3299289.4138251403</v>
      </c>
      <c r="V23" s="343">
        <v>5</v>
      </c>
      <c r="W23" s="150">
        <f t="shared" ref="W23:AD23" si="38">W16+W20+W21+W22</f>
        <v>12651.58</v>
      </c>
      <c r="X23" s="150">
        <f t="shared" si="38"/>
        <v>115584</v>
      </c>
      <c r="Y23" s="150">
        <f t="shared" si="38"/>
        <v>10090.74</v>
      </c>
      <c r="Z23" s="150">
        <f t="shared" si="38"/>
        <v>105264</v>
      </c>
      <c r="AA23" s="150">
        <f t="shared" si="38"/>
        <v>24080.22</v>
      </c>
      <c r="AB23" s="150">
        <f t="shared" si="38"/>
        <v>90816</v>
      </c>
      <c r="AC23" s="150">
        <f t="shared" si="38"/>
        <v>24080.22</v>
      </c>
      <c r="AD23" s="150">
        <f t="shared" si="38"/>
        <v>94944</v>
      </c>
      <c r="AE23" s="460">
        <f t="shared" si="4"/>
        <v>477510.76</v>
      </c>
      <c r="AF23" s="237">
        <f t="shared" ref="AF23:AM23" si="39">AF16+AF20+AF21+AF22</f>
        <v>0</v>
      </c>
      <c r="AG23" s="150">
        <f t="shared" si="39"/>
        <v>219204.48486906089</v>
      </c>
      <c r="AH23" s="150">
        <f t="shared" si="39"/>
        <v>0</v>
      </c>
      <c r="AI23" s="150">
        <f t="shared" si="39"/>
        <v>181496.96719839305</v>
      </c>
      <c r="AJ23" s="150">
        <f t="shared" si="39"/>
        <v>0</v>
      </c>
      <c r="AK23" s="150">
        <f t="shared" si="39"/>
        <v>181023.13071382846</v>
      </c>
      <c r="AL23" s="150">
        <f t="shared" si="39"/>
        <v>0</v>
      </c>
      <c r="AM23" s="150">
        <f t="shared" si="39"/>
        <v>186897.00545566683</v>
      </c>
      <c r="AN23" s="462">
        <f t="shared" si="5"/>
        <v>768621.58823694917</v>
      </c>
      <c r="AO23" s="237">
        <f t="shared" si="6"/>
        <v>1246132.3482369492</v>
      </c>
      <c r="AP23" s="343">
        <v>5</v>
      </c>
      <c r="AQ23" s="150">
        <f t="shared" ref="AQ23:AX23" si="40">AQ16+AQ20+AQ21+AQ22</f>
        <v>1460521.26</v>
      </c>
      <c r="AR23" s="150">
        <f t="shared" si="40"/>
        <v>3125565.4500000398</v>
      </c>
      <c r="AS23" s="150">
        <f t="shared" si="40"/>
        <v>1579055.86</v>
      </c>
      <c r="AT23" s="150">
        <f t="shared" si="40"/>
        <v>3335673.1100000497</v>
      </c>
      <c r="AU23" s="150">
        <f t="shared" si="40"/>
        <v>1679058.8800000004</v>
      </c>
      <c r="AV23" s="150">
        <f t="shared" si="40"/>
        <v>3734571.5899999202</v>
      </c>
      <c r="AW23" s="150">
        <f t="shared" si="40"/>
        <v>1823318.98</v>
      </c>
      <c r="AX23" s="150">
        <f t="shared" si="40"/>
        <v>4108817.6899999096</v>
      </c>
      <c r="AY23" s="460">
        <f t="shared" si="7"/>
        <v>20846582.819999918</v>
      </c>
      <c r="AZ23" s="237">
        <f t="shared" ref="AZ23:BG23" si="41">AZ16+AZ20+AZ21+AZ22</f>
        <v>0</v>
      </c>
      <c r="BA23" s="150">
        <f t="shared" si="41"/>
        <v>3342167.8239928386</v>
      </c>
      <c r="BB23" s="150">
        <f t="shared" si="41"/>
        <v>0</v>
      </c>
      <c r="BC23" s="150">
        <f t="shared" si="41"/>
        <v>3152337.6592410658</v>
      </c>
      <c r="BD23" s="150">
        <f t="shared" si="41"/>
        <v>0</v>
      </c>
      <c r="BE23" s="150">
        <f t="shared" si="41"/>
        <v>3604021.362674363</v>
      </c>
      <c r="BF23" s="150">
        <f t="shared" si="41"/>
        <v>0</v>
      </c>
      <c r="BG23" s="150">
        <f t="shared" si="41"/>
        <v>3754197.1498046368</v>
      </c>
      <c r="BH23" s="462">
        <f t="shared" si="8"/>
        <v>13852723.995712904</v>
      </c>
      <c r="BI23" s="237">
        <f t="shared" si="9"/>
        <v>34699306.815712824</v>
      </c>
      <c r="BJ23" s="343">
        <v>5</v>
      </c>
      <c r="BK23" s="150">
        <f t="shared" ref="BK23:BR23" si="42">BK16+BK20+BK21+BK22</f>
        <v>59939.100000000006</v>
      </c>
      <c r="BL23" s="150">
        <f t="shared" si="42"/>
        <v>479287.66</v>
      </c>
      <c r="BM23" s="150">
        <f t="shared" si="42"/>
        <v>59939.100000000006</v>
      </c>
      <c r="BN23" s="150">
        <f t="shared" si="42"/>
        <v>364298.58000000007</v>
      </c>
      <c r="BO23" s="150">
        <f t="shared" si="42"/>
        <v>52946.21</v>
      </c>
      <c r="BP23" s="150">
        <f t="shared" si="42"/>
        <v>338254.83999999997</v>
      </c>
      <c r="BQ23" s="150">
        <f t="shared" si="42"/>
        <v>39959.4</v>
      </c>
      <c r="BR23" s="150">
        <f t="shared" si="42"/>
        <v>268646.62</v>
      </c>
      <c r="BS23" s="460">
        <f t="shared" si="10"/>
        <v>1663271.5099999998</v>
      </c>
      <c r="BT23" s="237">
        <f t="shared" ref="BT23:CA23" si="43">BT16+BT20+BT21+BT22</f>
        <v>0</v>
      </c>
      <c r="BU23" s="150">
        <f t="shared" si="43"/>
        <v>228138.73714904566</v>
      </c>
      <c r="BV23" s="150">
        <f t="shared" si="43"/>
        <v>0</v>
      </c>
      <c r="BW23" s="150">
        <f t="shared" si="43"/>
        <v>193981.58145291742</v>
      </c>
      <c r="BX23" s="150">
        <f t="shared" si="43"/>
        <v>0</v>
      </c>
      <c r="BY23" s="150">
        <f t="shared" si="43"/>
        <v>161025.8125275647</v>
      </c>
      <c r="BZ23" s="150">
        <f t="shared" si="43"/>
        <v>0</v>
      </c>
      <c r="CA23" s="150">
        <f t="shared" si="43"/>
        <v>147176.96706720477</v>
      </c>
      <c r="CB23" s="462">
        <f t="shared" si="11"/>
        <v>730323.09819673258</v>
      </c>
      <c r="CC23" s="237">
        <f t="shared" si="12"/>
        <v>2393594.6081967326</v>
      </c>
      <c r="CD23" s="343">
        <v>5</v>
      </c>
      <c r="CE23" s="462">
        <f t="shared" si="14"/>
        <v>5473482.8500000397</v>
      </c>
      <c r="CF23" s="462">
        <f t="shared" si="15"/>
        <v>5685768.0200000498</v>
      </c>
      <c r="CG23" s="462">
        <f t="shared" si="16"/>
        <v>6178037.2099999217</v>
      </c>
      <c r="CH23" s="462">
        <f t="shared" si="17"/>
        <v>6637277.5899999114</v>
      </c>
      <c r="CI23" s="464">
        <f t="shared" si="18"/>
        <v>23974565.66999992</v>
      </c>
      <c r="CJ23" s="462">
        <f t="shared" si="19"/>
        <v>4315306.686555136</v>
      </c>
      <c r="CK23" s="462">
        <f t="shared" si="20"/>
        <v>4074434.5457156952</v>
      </c>
      <c r="CL23" s="462">
        <f t="shared" si="21"/>
        <v>4544452.2046461795</v>
      </c>
      <c r="CM23" s="462">
        <f t="shared" si="22"/>
        <v>4729564.0790547123</v>
      </c>
      <c r="CN23" s="464">
        <f t="shared" si="23"/>
        <v>17663757.515971724</v>
      </c>
      <c r="CO23" s="462">
        <f t="shared" si="24"/>
        <v>9788789.5365551747</v>
      </c>
      <c r="CP23" s="462">
        <f t="shared" si="25"/>
        <v>9760202.5657157451</v>
      </c>
      <c r="CQ23" s="462">
        <f t="shared" si="26"/>
        <v>10722489.414646102</v>
      </c>
      <c r="CR23" s="462">
        <f t="shared" si="27"/>
        <v>11366841.669054624</v>
      </c>
      <c r="CS23" s="464">
        <f t="shared" si="13"/>
        <v>41638323.185971648</v>
      </c>
      <c r="CT23" s="362"/>
      <c r="CV23" s="362"/>
      <c r="CX23" s="362"/>
    </row>
    <row r="24" spans="1:131" ht="15.75" customHeight="1" x14ac:dyDescent="0.25">
      <c r="A24" s="148" t="s">
        <v>138</v>
      </c>
      <c r="B24" s="213"/>
      <c r="C24" s="198"/>
      <c r="D24" s="198"/>
      <c r="E24" s="198"/>
      <c r="F24" s="198"/>
      <c r="G24" s="198"/>
      <c r="H24" s="198"/>
      <c r="I24" s="198"/>
      <c r="J24" s="198"/>
      <c r="K24" s="429"/>
      <c r="L24" s="430"/>
      <c r="M24" s="198"/>
      <c r="N24" s="198"/>
      <c r="O24" s="198"/>
      <c r="P24" s="198"/>
      <c r="Q24" s="198"/>
      <c r="R24" s="198"/>
      <c r="S24" s="198"/>
      <c r="T24" s="198"/>
      <c r="U24" s="430"/>
      <c r="V24" s="213"/>
      <c r="W24" s="198"/>
      <c r="X24" s="198"/>
      <c r="Y24" s="198"/>
      <c r="Z24" s="198"/>
      <c r="AA24" s="198"/>
      <c r="AB24" s="198"/>
      <c r="AC24" s="198"/>
      <c r="AD24" s="198"/>
      <c r="AE24" s="429"/>
      <c r="AF24" s="430"/>
      <c r="AG24" s="198"/>
      <c r="AH24" s="198"/>
      <c r="AI24" s="198"/>
      <c r="AJ24" s="198"/>
      <c r="AK24" s="198"/>
      <c r="AL24" s="198"/>
      <c r="AM24" s="198"/>
      <c r="AN24" s="198"/>
      <c r="AO24" s="430"/>
      <c r="AP24" s="213"/>
      <c r="AQ24" s="198"/>
      <c r="AR24" s="198"/>
      <c r="AS24" s="198"/>
      <c r="AT24" s="198"/>
      <c r="AU24" s="198"/>
      <c r="AV24" s="198"/>
      <c r="AW24" s="198"/>
      <c r="AX24" s="198"/>
      <c r="AY24" s="429"/>
      <c r="AZ24" s="430"/>
      <c r="BA24" s="198"/>
      <c r="BB24" s="198"/>
      <c r="BC24" s="198"/>
      <c r="BD24" s="198"/>
      <c r="BE24" s="198"/>
      <c r="BF24" s="198"/>
      <c r="BG24" s="198"/>
      <c r="BH24" s="198"/>
      <c r="BI24" s="430"/>
      <c r="BJ24" s="213"/>
      <c r="BK24" s="198"/>
      <c r="BL24" s="198"/>
      <c r="BM24" s="198"/>
      <c r="BN24" s="198"/>
      <c r="BO24" s="198"/>
      <c r="BP24" s="198"/>
      <c r="BQ24" s="198"/>
      <c r="BR24" s="198"/>
      <c r="BS24" s="429"/>
      <c r="BT24" s="430"/>
      <c r="BU24" s="198"/>
      <c r="BV24" s="198"/>
      <c r="BW24" s="198"/>
      <c r="BX24" s="198"/>
      <c r="BY24" s="198"/>
      <c r="BZ24" s="198"/>
      <c r="CA24" s="198"/>
      <c r="CB24" s="198"/>
      <c r="CC24" s="430"/>
      <c r="CD24" s="213"/>
      <c r="CE24" s="198"/>
      <c r="CF24" s="198"/>
      <c r="CG24" s="198"/>
      <c r="CH24" s="198"/>
      <c r="CI24" s="467"/>
      <c r="CJ24" s="198"/>
      <c r="CK24" s="198"/>
      <c r="CL24" s="198"/>
      <c r="CM24" s="198"/>
      <c r="CN24" s="467"/>
      <c r="CO24" s="198"/>
      <c r="CP24" s="198"/>
      <c r="CQ24" s="198"/>
      <c r="CR24" s="198"/>
      <c r="CS24" s="467"/>
    </row>
    <row r="25" spans="1:131" ht="15.75" customHeight="1" x14ac:dyDescent="0.25">
      <c r="A25" s="94" t="s">
        <v>374</v>
      </c>
      <c r="B25" s="343">
        <v>6</v>
      </c>
      <c r="C25" s="257"/>
      <c r="D25" s="257"/>
      <c r="E25" s="257"/>
      <c r="F25" s="257"/>
      <c r="G25" s="257"/>
      <c r="H25" s="257"/>
      <c r="I25" s="257"/>
      <c r="J25" s="257"/>
      <c r="K25" s="460">
        <f t="shared" ref="K25:K30" si="44">SUM(C25:J25)</f>
        <v>0</v>
      </c>
      <c r="L25" s="465"/>
      <c r="M25" s="257"/>
      <c r="N25" s="257"/>
      <c r="O25" s="257"/>
      <c r="P25" s="257"/>
      <c r="Q25" s="257"/>
      <c r="R25" s="257"/>
      <c r="S25" s="257"/>
      <c r="T25" s="462">
        <f t="shared" ref="T25:T30" si="45">SUM(L25:S25)</f>
        <v>0</v>
      </c>
      <c r="U25" s="463">
        <f t="shared" ref="U25:U30" si="46">SUM(K25,T25)</f>
        <v>0</v>
      </c>
      <c r="V25" s="343">
        <v>6</v>
      </c>
      <c r="W25" s="257"/>
      <c r="X25" s="257"/>
      <c r="Y25" s="257"/>
      <c r="Z25" s="257"/>
      <c r="AA25" s="257"/>
      <c r="AB25" s="257"/>
      <c r="AC25" s="257"/>
      <c r="AD25" s="257"/>
      <c r="AE25" s="460">
        <f t="shared" ref="AE25:AE30" si="47">SUM(W25:AD25)</f>
        <v>0</v>
      </c>
      <c r="AF25" s="465"/>
      <c r="AG25" s="257"/>
      <c r="AH25" s="257"/>
      <c r="AI25" s="257"/>
      <c r="AJ25" s="257"/>
      <c r="AK25" s="257"/>
      <c r="AL25" s="257"/>
      <c r="AM25" s="257"/>
      <c r="AN25" s="462">
        <f t="shared" ref="AN25:AN30" si="48">SUM(AF25:AM25)</f>
        <v>0</v>
      </c>
      <c r="AO25" s="463">
        <f t="shared" ref="AO25:AO30" si="49">SUM(AE25,AN25)</f>
        <v>0</v>
      </c>
      <c r="AP25" s="343">
        <v>6</v>
      </c>
      <c r="AQ25" s="257"/>
      <c r="AR25" s="257"/>
      <c r="AS25" s="257"/>
      <c r="AT25" s="257"/>
      <c r="AU25" s="257"/>
      <c r="AV25" s="257"/>
      <c r="AW25" s="257"/>
      <c r="AX25" s="257"/>
      <c r="AY25" s="460">
        <f t="shared" ref="AY25:AY30" si="50">SUM(AQ25:AX25)</f>
        <v>0</v>
      </c>
      <c r="AZ25" s="465"/>
      <c r="BA25" s="257"/>
      <c r="BB25" s="257"/>
      <c r="BC25" s="257"/>
      <c r="BD25" s="257"/>
      <c r="BE25" s="257"/>
      <c r="BF25" s="257"/>
      <c r="BG25" s="257"/>
      <c r="BH25" s="462">
        <f t="shared" ref="BH25:BH30" si="51">SUM(AZ25:BG25)</f>
        <v>0</v>
      </c>
      <c r="BI25" s="463">
        <f t="shared" ref="BI25:BI30" si="52">SUM(AY25,BH25)</f>
        <v>0</v>
      </c>
      <c r="BJ25" s="343">
        <v>6</v>
      </c>
      <c r="BK25" s="257">
        <v>4474.9701569073686</v>
      </c>
      <c r="BL25" s="257">
        <v>35782.952614803449</v>
      </c>
      <c r="BM25" s="257">
        <v>4496.2184893272115</v>
      </c>
      <c r="BN25" s="257">
        <v>27327.17059534842</v>
      </c>
      <c r="BO25" s="257">
        <v>4082.8749637151864</v>
      </c>
      <c r="BP25" s="257">
        <v>26084.061873200859</v>
      </c>
      <c r="BQ25" s="257">
        <v>12310.618048484186</v>
      </c>
      <c r="BR25" s="257">
        <v>82764.153837051417</v>
      </c>
      <c r="BS25" s="460">
        <f t="shared" ref="BS25:BS30" si="53">SUM(BK25:BR25)</f>
        <v>197323.02057883813</v>
      </c>
      <c r="BT25" s="465"/>
      <c r="BU25" s="257"/>
      <c r="BV25" s="257"/>
      <c r="BW25" s="257"/>
      <c r="BX25" s="257"/>
      <c r="BY25" s="257"/>
      <c r="BZ25" s="257"/>
      <c r="CA25" s="257"/>
      <c r="CB25" s="462">
        <f t="shared" ref="CB25:CB30" si="54">SUM(BT25:CA25)</f>
        <v>0</v>
      </c>
      <c r="CC25" s="463">
        <f t="shared" ref="CC25:CC30" si="55">SUM(BS25,CB25)</f>
        <v>197323.02057883813</v>
      </c>
      <c r="CD25" s="343">
        <v>6</v>
      </c>
      <c r="CE25" s="462">
        <f t="shared" ref="CE25:CE30" si="56">+C25+D25+W25+X25+AQ25+AR25+BK25+BL25</f>
        <v>40257.922771710815</v>
      </c>
      <c r="CF25" s="462">
        <f t="shared" ref="CF25:CF30" si="57">+E25+F25+Y25+Z25+AS25+AT25+BM25+BN25</f>
        <v>31823.389084675633</v>
      </c>
      <c r="CG25" s="462">
        <f t="shared" ref="CG25:CG30" si="58">+G25+H25+AA25+AB25+AU25+AV25+BO25+BP25</f>
        <v>30166.936836916044</v>
      </c>
      <c r="CH25" s="462">
        <f t="shared" ref="CH25:CH30" si="59">+I25+J25+AC25+AD25+AW25+AX25+BQ25+BR25</f>
        <v>95074.771885535607</v>
      </c>
      <c r="CI25" s="464">
        <f t="shared" ref="CI25:CI30" si="60">SUM(K25,AE25,AY25,BS25)</f>
        <v>197323.02057883813</v>
      </c>
      <c r="CJ25" s="462">
        <f t="shared" ref="CJ25:CJ30" si="61">L25+M25+AF25+AG25+AZ25+BA25+BT25+BU25</f>
        <v>0</v>
      </c>
      <c r="CK25" s="462">
        <f t="shared" ref="CK25:CK30" si="62">N25+O25+AH25+AI25+BB25+BC25+BV25+BW25</f>
        <v>0</v>
      </c>
      <c r="CL25" s="462">
        <f t="shared" ref="CL25:CL30" si="63">P25+Q25+AJ25+AK25+BD25+BE25+BX25+BY25</f>
        <v>0</v>
      </c>
      <c r="CM25" s="462">
        <f t="shared" ref="CM25:CM30" si="64">+R25+S25+AL25+AM25+BF25+BG25+BZ25+CA25</f>
        <v>0</v>
      </c>
      <c r="CN25" s="464">
        <f t="shared" ref="CN25:CN30" si="65">SUM(T25,AN25,BH25,CB25)</f>
        <v>0</v>
      </c>
      <c r="CO25" s="462">
        <f t="shared" ref="CO25:CO30" si="66">+C25+D25+L25+M25+W25+X25+AF25+AG25+AQ25+AR25+AZ25+BA25+BK25+BL25+BT25+BU25</f>
        <v>40257.922771710815</v>
      </c>
      <c r="CP25" s="462">
        <f t="shared" ref="CP25:CP30" si="67">+E25+F25+N25+O25+Y25+Z25+AH25+AI25+AS25+AT25+BB25+BC25+BM25+BN25+BV25+BW25</f>
        <v>31823.389084675633</v>
      </c>
      <c r="CQ25" s="462">
        <f t="shared" ref="CQ25:CQ30" si="68">+G25+H25+P25+Q25+AA25+AB25+AJ25+AK25+AU25+AV25+BD25+BE25+BO25+BP25+BX25+BY25</f>
        <v>30166.936836916044</v>
      </c>
      <c r="CR25" s="462">
        <f t="shared" ref="CR25:CR30" si="69">+I25+J25+R25+S25+AC25+AD25+AL25+AM25+AW25+AX25+BF25+BG25+BQ25+BR25+BZ25+CA25</f>
        <v>95074.771885535607</v>
      </c>
      <c r="CS25" s="464">
        <f t="shared" ref="CS25:CS30" si="70">SUM(CC25,BI25,AO25,U25)</f>
        <v>197323.02057883813</v>
      </c>
      <c r="CT25" s="362"/>
      <c r="CU25" s="362"/>
      <c r="CV25" s="362"/>
      <c r="CW25" s="362"/>
      <c r="CX25" s="362"/>
    </row>
    <row r="26" spans="1:131" ht="15.75" customHeight="1" x14ac:dyDescent="0.25">
      <c r="A26" s="94" t="s">
        <v>139</v>
      </c>
      <c r="B26" s="343">
        <v>7</v>
      </c>
      <c r="C26" s="257"/>
      <c r="D26" s="257"/>
      <c r="E26" s="257"/>
      <c r="F26" s="257"/>
      <c r="G26" s="257"/>
      <c r="H26" s="257"/>
      <c r="I26" s="257"/>
      <c r="J26" s="257"/>
      <c r="K26" s="460">
        <f t="shared" si="44"/>
        <v>0</v>
      </c>
      <c r="L26" s="465"/>
      <c r="M26" s="257"/>
      <c r="N26" s="257"/>
      <c r="O26" s="257"/>
      <c r="P26" s="257"/>
      <c r="Q26" s="257"/>
      <c r="R26" s="257"/>
      <c r="S26" s="257"/>
      <c r="T26" s="462">
        <f t="shared" si="45"/>
        <v>0</v>
      </c>
      <c r="U26" s="463">
        <f t="shared" si="46"/>
        <v>0</v>
      </c>
      <c r="V26" s="343">
        <v>7</v>
      </c>
      <c r="W26" s="257"/>
      <c r="X26" s="257"/>
      <c r="Y26" s="257"/>
      <c r="Z26" s="257"/>
      <c r="AA26" s="257"/>
      <c r="AB26" s="257"/>
      <c r="AC26" s="257"/>
      <c r="AD26" s="257"/>
      <c r="AE26" s="460">
        <f t="shared" si="47"/>
        <v>0</v>
      </c>
      <c r="AF26" s="465"/>
      <c r="AG26" s="257"/>
      <c r="AH26" s="257"/>
      <c r="AI26" s="257"/>
      <c r="AJ26" s="257"/>
      <c r="AK26" s="257"/>
      <c r="AL26" s="257"/>
      <c r="AM26" s="257"/>
      <c r="AN26" s="462">
        <f t="shared" si="48"/>
        <v>0</v>
      </c>
      <c r="AO26" s="463">
        <f t="shared" si="49"/>
        <v>0</v>
      </c>
      <c r="AP26" s="343">
        <v>7</v>
      </c>
      <c r="AQ26" s="257"/>
      <c r="AR26" s="257"/>
      <c r="AS26" s="257"/>
      <c r="AT26" s="257"/>
      <c r="AU26" s="257"/>
      <c r="AV26" s="257"/>
      <c r="AW26" s="257"/>
      <c r="AX26" s="257"/>
      <c r="AY26" s="460">
        <f t="shared" si="50"/>
        <v>0</v>
      </c>
      <c r="AZ26" s="465"/>
      <c r="BA26" s="257"/>
      <c r="BB26" s="257"/>
      <c r="BC26" s="257"/>
      <c r="BD26" s="257"/>
      <c r="BE26" s="257"/>
      <c r="BF26" s="257"/>
      <c r="BG26" s="257"/>
      <c r="BH26" s="462">
        <f t="shared" si="51"/>
        <v>0</v>
      </c>
      <c r="BI26" s="463">
        <f t="shared" si="52"/>
        <v>0</v>
      </c>
      <c r="BJ26" s="343">
        <v>7</v>
      </c>
      <c r="BK26" s="257"/>
      <c r="BL26" s="257"/>
      <c r="BM26" s="257"/>
      <c r="BN26" s="257"/>
      <c r="BO26" s="257"/>
      <c r="BP26" s="257"/>
      <c r="BQ26" s="257"/>
      <c r="BR26" s="257"/>
      <c r="BS26" s="460">
        <f t="shared" si="53"/>
        <v>0</v>
      </c>
      <c r="BT26" s="465"/>
      <c r="BU26" s="257"/>
      <c r="BV26" s="257"/>
      <c r="BW26" s="257"/>
      <c r="BX26" s="257"/>
      <c r="BY26" s="257"/>
      <c r="BZ26" s="257"/>
      <c r="CA26" s="257"/>
      <c r="CB26" s="462">
        <f t="shared" si="54"/>
        <v>0</v>
      </c>
      <c r="CC26" s="463">
        <f t="shared" si="55"/>
        <v>0</v>
      </c>
      <c r="CD26" s="343">
        <v>7</v>
      </c>
      <c r="CE26" s="462">
        <f t="shared" si="56"/>
        <v>0</v>
      </c>
      <c r="CF26" s="462">
        <f t="shared" si="57"/>
        <v>0</v>
      </c>
      <c r="CG26" s="462">
        <f t="shared" si="58"/>
        <v>0</v>
      </c>
      <c r="CH26" s="462">
        <f t="shared" si="59"/>
        <v>0</v>
      </c>
      <c r="CI26" s="464">
        <f t="shared" si="60"/>
        <v>0</v>
      </c>
      <c r="CJ26" s="462">
        <f t="shared" si="61"/>
        <v>0</v>
      </c>
      <c r="CK26" s="462">
        <f t="shared" si="62"/>
        <v>0</v>
      </c>
      <c r="CL26" s="462">
        <f t="shared" si="63"/>
        <v>0</v>
      </c>
      <c r="CM26" s="462">
        <f t="shared" si="64"/>
        <v>0</v>
      </c>
      <c r="CN26" s="464">
        <f t="shared" si="65"/>
        <v>0</v>
      </c>
      <c r="CO26" s="462">
        <f t="shared" si="66"/>
        <v>0</v>
      </c>
      <c r="CP26" s="462">
        <f t="shared" si="67"/>
        <v>0</v>
      </c>
      <c r="CQ26" s="462">
        <f t="shared" si="68"/>
        <v>0</v>
      </c>
      <c r="CR26" s="462">
        <f t="shared" si="69"/>
        <v>0</v>
      </c>
      <c r="CS26" s="464">
        <f t="shared" si="70"/>
        <v>0</v>
      </c>
      <c r="CT26" s="362"/>
      <c r="CV26" s="362"/>
      <c r="CX26" s="362"/>
    </row>
    <row r="27" spans="1:131" ht="15.75" customHeight="1" x14ac:dyDescent="0.25">
      <c r="A27" s="94" t="s">
        <v>137</v>
      </c>
      <c r="B27" s="343">
        <v>8</v>
      </c>
      <c r="C27" s="257"/>
      <c r="D27" s="257"/>
      <c r="E27" s="257"/>
      <c r="F27" s="257"/>
      <c r="G27" s="257"/>
      <c r="H27" s="257"/>
      <c r="I27" s="257"/>
      <c r="J27" s="257"/>
      <c r="K27" s="460">
        <f t="shared" si="44"/>
        <v>0</v>
      </c>
      <c r="L27" s="465"/>
      <c r="M27" s="257"/>
      <c r="N27" s="257"/>
      <c r="O27" s="257"/>
      <c r="P27" s="257"/>
      <c r="Q27" s="257"/>
      <c r="R27" s="257"/>
      <c r="S27" s="257"/>
      <c r="T27" s="462">
        <f t="shared" si="45"/>
        <v>0</v>
      </c>
      <c r="U27" s="463">
        <f t="shared" si="46"/>
        <v>0</v>
      </c>
      <c r="V27" s="343">
        <v>8</v>
      </c>
      <c r="W27" s="257"/>
      <c r="X27" s="257"/>
      <c r="Y27" s="257"/>
      <c r="Z27" s="257"/>
      <c r="AA27" s="257"/>
      <c r="AB27" s="257"/>
      <c r="AC27" s="257"/>
      <c r="AD27" s="257"/>
      <c r="AE27" s="460">
        <f t="shared" si="47"/>
        <v>0</v>
      </c>
      <c r="AF27" s="465"/>
      <c r="AG27" s="257"/>
      <c r="AH27" s="257"/>
      <c r="AI27" s="257"/>
      <c r="AJ27" s="257"/>
      <c r="AK27" s="257"/>
      <c r="AL27" s="257"/>
      <c r="AM27" s="257"/>
      <c r="AN27" s="462">
        <f t="shared" si="48"/>
        <v>0</v>
      </c>
      <c r="AO27" s="463">
        <f t="shared" si="49"/>
        <v>0</v>
      </c>
      <c r="AP27" s="343">
        <v>8</v>
      </c>
      <c r="AQ27" s="257"/>
      <c r="AR27" s="257"/>
      <c r="AS27" s="257"/>
      <c r="AT27" s="257"/>
      <c r="AU27" s="257"/>
      <c r="AV27" s="257"/>
      <c r="AW27" s="257"/>
      <c r="AX27" s="257"/>
      <c r="AY27" s="460">
        <f t="shared" si="50"/>
        <v>0</v>
      </c>
      <c r="AZ27" s="465"/>
      <c r="BA27" s="257"/>
      <c r="BB27" s="257"/>
      <c r="BC27" s="257"/>
      <c r="BD27" s="257"/>
      <c r="BE27" s="257"/>
      <c r="BF27" s="257"/>
      <c r="BG27" s="257"/>
      <c r="BH27" s="462">
        <f t="shared" si="51"/>
        <v>0</v>
      </c>
      <c r="BI27" s="463">
        <f t="shared" si="52"/>
        <v>0</v>
      </c>
      <c r="BJ27" s="343">
        <v>8</v>
      </c>
      <c r="BK27" s="257"/>
      <c r="BL27" s="257"/>
      <c r="BM27" s="257"/>
      <c r="BN27" s="257"/>
      <c r="BO27" s="257"/>
      <c r="BP27" s="257"/>
      <c r="BQ27" s="257"/>
      <c r="BR27" s="257"/>
      <c r="BS27" s="460">
        <f t="shared" si="53"/>
        <v>0</v>
      </c>
      <c r="BT27" s="465"/>
      <c r="BU27" s="257"/>
      <c r="BV27" s="257"/>
      <c r="BW27" s="257"/>
      <c r="BX27" s="257"/>
      <c r="BY27" s="257"/>
      <c r="BZ27" s="257"/>
      <c r="CA27" s="257"/>
      <c r="CB27" s="462">
        <f t="shared" si="54"/>
        <v>0</v>
      </c>
      <c r="CC27" s="463">
        <f t="shared" si="55"/>
        <v>0</v>
      </c>
      <c r="CD27" s="343">
        <v>8</v>
      </c>
      <c r="CE27" s="462">
        <f t="shared" si="56"/>
        <v>0</v>
      </c>
      <c r="CF27" s="462">
        <f t="shared" si="57"/>
        <v>0</v>
      </c>
      <c r="CG27" s="462">
        <f t="shared" si="58"/>
        <v>0</v>
      </c>
      <c r="CH27" s="462">
        <f t="shared" si="59"/>
        <v>0</v>
      </c>
      <c r="CI27" s="464">
        <f t="shared" si="60"/>
        <v>0</v>
      </c>
      <c r="CJ27" s="462">
        <f t="shared" si="61"/>
        <v>0</v>
      </c>
      <c r="CK27" s="462">
        <f t="shared" si="62"/>
        <v>0</v>
      </c>
      <c r="CL27" s="462">
        <f t="shared" si="63"/>
        <v>0</v>
      </c>
      <c r="CM27" s="462">
        <f t="shared" si="64"/>
        <v>0</v>
      </c>
      <c r="CN27" s="464">
        <f t="shared" si="65"/>
        <v>0</v>
      </c>
      <c r="CO27" s="462">
        <f t="shared" si="66"/>
        <v>0</v>
      </c>
      <c r="CP27" s="462">
        <f t="shared" si="67"/>
        <v>0</v>
      </c>
      <c r="CQ27" s="462">
        <f t="shared" si="68"/>
        <v>0</v>
      </c>
      <c r="CR27" s="462">
        <f t="shared" si="69"/>
        <v>0</v>
      </c>
      <c r="CS27" s="464">
        <f t="shared" si="70"/>
        <v>0</v>
      </c>
      <c r="CT27" s="362"/>
      <c r="CV27" s="362"/>
      <c r="CX27" s="362"/>
    </row>
    <row r="28" spans="1:131" ht="15.75" customHeight="1" x14ac:dyDescent="0.25">
      <c r="A28" s="94" t="s">
        <v>1308</v>
      </c>
      <c r="B28" s="343">
        <v>9</v>
      </c>
      <c r="C28" s="257"/>
      <c r="D28" s="257"/>
      <c r="E28" s="257"/>
      <c r="F28" s="257"/>
      <c r="G28" s="257"/>
      <c r="H28" s="257"/>
      <c r="I28" s="257"/>
      <c r="J28" s="257"/>
      <c r="K28" s="460">
        <f t="shared" si="44"/>
        <v>0</v>
      </c>
      <c r="L28" s="465"/>
      <c r="M28" s="257"/>
      <c r="N28" s="257"/>
      <c r="O28" s="257"/>
      <c r="P28" s="257"/>
      <c r="Q28" s="257"/>
      <c r="R28" s="257"/>
      <c r="S28" s="257"/>
      <c r="T28" s="462">
        <f t="shared" si="45"/>
        <v>0</v>
      </c>
      <c r="U28" s="463">
        <f t="shared" si="46"/>
        <v>0</v>
      </c>
      <c r="V28" s="343">
        <v>9</v>
      </c>
      <c r="W28" s="257"/>
      <c r="X28" s="257"/>
      <c r="Y28" s="257"/>
      <c r="Z28" s="257"/>
      <c r="AA28" s="257"/>
      <c r="AB28" s="257"/>
      <c r="AC28" s="257"/>
      <c r="AD28" s="257"/>
      <c r="AE28" s="460">
        <f t="shared" si="47"/>
        <v>0</v>
      </c>
      <c r="AF28" s="465"/>
      <c r="AG28" s="257"/>
      <c r="AH28" s="257"/>
      <c r="AI28" s="257"/>
      <c r="AJ28" s="257"/>
      <c r="AK28" s="257"/>
      <c r="AL28" s="257"/>
      <c r="AM28" s="257"/>
      <c r="AN28" s="462">
        <f t="shared" si="48"/>
        <v>0</v>
      </c>
      <c r="AO28" s="463">
        <f t="shared" si="49"/>
        <v>0</v>
      </c>
      <c r="AP28" s="343">
        <v>9</v>
      </c>
      <c r="AQ28" s="257"/>
      <c r="AR28" s="257"/>
      <c r="AS28" s="257"/>
      <c r="AT28" s="257"/>
      <c r="AU28" s="257"/>
      <c r="AV28" s="257"/>
      <c r="AW28" s="257"/>
      <c r="AX28" s="257"/>
      <c r="AY28" s="460">
        <f t="shared" si="50"/>
        <v>0</v>
      </c>
      <c r="AZ28" s="465"/>
      <c r="BA28" s="257"/>
      <c r="BB28" s="257"/>
      <c r="BC28" s="257"/>
      <c r="BD28" s="257"/>
      <c r="BE28" s="257"/>
      <c r="BF28" s="257"/>
      <c r="BG28" s="257"/>
      <c r="BH28" s="462">
        <f t="shared" si="51"/>
        <v>0</v>
      </c>
      <c r="BI28" s="463">
        <f t="shared" si="52"/>
        <v>0</v>
      </c>
      <c r="BJ28" s="343">
        <v>9</v>
      </c>
      <c r="BK28" s="257"/>
      <c r="BL28" s="257"/>
      <c r="BM28" s="257"/>
      <c r="BN28" s="257"/>
      <c r="BO28" s="257"/>
      <c r="BP28" s="257"/>
      <c r="BQ28" s="257"/>
      <c r="BR28" s="257"/>
      <c r="BS28" s="460">
        <f t="shared" si="53"/>
        <v>0</v>
      </c>
      <c r="BT28" s="465"/>
      <c r="BU28" s="257"/>
      <c r="BV28" s="257"/>
      <c r="BW28" s="257"/>
      <c r="BX28" s="257"/>
      <c r="BY28" s="257"/>
      <c r="BZ28" s="257"/>
      <c r="CA28" s="257"/>
      <c r="CB28" s="462">
        <f t="shared" si="54"/>
        <v>0</v>
      </c>
      <c r="CC28" s="463">
        <f t="shared" si="55"/>
        <v>0</v>
      </c>
      <c r="CD28" s="343">
        <v>9</v>
      </c>
      <c r="CE28" s="462">
        <f t="shared" si="56"/>
        <v>0</v>
      </c>
      <c r="CF28" s="462">
        <f t="shared" si="57"/>
        <v>0</v>
      </c>
      <c r="CG28" s="462">
        <f t="shared" si="58"/>
        <v>0</v>
      </c>
      <c r="CH28" s="462">
        <f t="shared" si="59"/>
        <v>0</v>
      </c>
      <c r="CI28" s="464">
        <f t="shared" si="60"/>
        <v>0</v>
      </c>
      <c r="CJ28" s="462">
        <f t="shared" si="61"/>
        <v>0</v>
      </c>
      <c r="CK28" s="462">
        <f t="shared" si="62"/>
        <v>0</v>
      </c>
      <c r="CL28" s="462">
        <f t="shared" si="63"/>
        <v>0</v>
      </c>
      <c r="CM28" s="462">
        <f t="shared" si="64"/>
        <v>0</v>
      </c>
      <c r="CN28" s="464">
        <f t="shared" si="65"/>
        <v>0</v>
      </c>
      <c r="CO28" s="462">
        <f t="shared" si="66"/>
        <v>0</v>
      </c>
      <c r="CP28" s="462">
        <f t="shared" si="67"/>
        <v>0</v>
      </c>
      <c r="CQ28" s="462">
        <f t="shared" si="68"/>
        <v>0</v>
      </c>
      <c r="CR28" s="462">
        <f t="shared" si="69"/>
        <v>0</v>
      </c>
      <c r="CS28" s="464">
        <f t="shared" si="70"/>
        <v>0</v>
      </c>
      <c r="CT28" s="362"/>
      <c r="CV28" s="362"/>
      <c r="CX28" s="362"/>
    </row>
    <row r="29" spans="1:131" ht="15.75" customHeight="1" x14ac:dyDescent="0.25">
      <c r="A29" s="94" t="s">
        <v>140</v>
      </c>
      <c r="B29" s="343">
        <v>10</v>
      </c>
      <c r="C29" s="257">
        <v>0</v>
      </c>
      <c r="D29" s="257">
        <v>0</v>
      </c>
      <c r="E29" s="257">
        <v>0</v>
      </c>
      <c r="F29" s="257">
        <v>0</v>
      </c>
      <c r="G29" s="257">
        <v>0</v>
      </c>
      <c r="H29" s="257">
        <v>0</v>
      </c>
      <c r="I29" s="257">
        <v>0</v>
      </c>
      <c r="J29" s="257">
        <v>0</v>
      </c>
      <c r="K29" s="460">
        <f t="shared" si="44"/>
        <v>0</v>
      </c>
      <c r="L29" s="465">
        <v>0</v>
      </c>
      <c r="M29" s="257">
        <v>6.0965871268973673E-6</v>
      </c>
      <c r="N29" s="257">
        <v>0</v>
      </c>
      <c r="O29" s="257">
        <v>6.3648149946827081E-6</v>
      </c>
      <c r="P29" s="257">
        <v>0</v>
      </c>
      <c r="Q29" s="257">
        <v>6.6593860938249072E-6</v>
      </c>
      <c r="R29" s="257">
        <v>0</v>
      </c>
      <c r="S29" s="257">
        <v>6.9500183669701495E-6</v>
      </c>
      <c r="T29" s="462">
        <f t="shared" si="45"/>
        <v>2.6070806582375129E-5</v>
      </c>
      <c r="U29" s="463">
        <f t="shared" si="46"/>
        <v>2.6070806582375129E-5</v>
      </c>
      <c r="V29" s="343">
        <v>10</v>
      </c>
      <c r="W29" s="257">
        <v>0</v>
      </c>
      <c r="X29" s="257">
        <v>0</v>
      </c>
      <c r="Y29" s="257">
        <v>0</v>
      </c>
      <c r="Z29" s="257">
        <v>0</v>
      </c>
      <c r="AA29" s="257">
        <v>0</v>
      </c>
      <c r="AB29" s="257">
        <v>0</v>
      </c>
      <c r="AC29" s="257">
        <v>0</v>
      </c>
      <c r="AD29" s="257">
        <v>0</v>
      </c>
      <c r="AE29" s="460">
        <f t="shared" si="47"/>
        <v>0</v>
      </c>
      <c r="AF29" s="465">
        <v>0</v>
      </c>
      <c r="AG29" s="257">
        <v>2.4215632494420104E-6</v>
      </c>
      <c r="AH29" s="257">
        <v>0</v>
      </c>
      <c r="AI29" s="257">
        <v>2.0311012856317284E-6</v>
      </c>
      <c r="AJ29" s="257">
        <v>0</v>
      </c>
      <c r="AK29" s="257">
        <v>1.640143186888605E-6</v>
      </c>
      <c r="AL29" s="257">
        <v>0</v>
      </c>
      <c r="AM29" s="257">
        <v>1.7385851572841262E-6</v>
      </c>
      <c r="AN29" s="462">
        <f t="shared" si="48"/>
        <v>7.8313928792464699E-6</v>
      </c>
      <c r="AO29" s="463">
        <f t="shared" si="49"/>
        <v>7.8313928792464699E-6</v>
      </c>
      <c r="AP29" s="343">
        <v>10</v>
      </c>
      <c r="AQ29" s="257">
        <v>0</v>
      </c>
      <c r="AR29" s="257">
        <v>0</v>
      </c>
      <c r="AS29" s="257">
        <v>0</v>
      </c>
      <c r="AT29" s="257">
        <v>0</v>
      </c>
      <c r="AU29" s="257">
        <v>0</v>
      </c>
      <c r="AV29" s="257">
        <v>0</v>
      </c>
      <c r="AW29" s="257">
        <v>0</v>
      </c>
      <c r="AX29" s="257">
        <v>0</v>
      </c>
      <c r="AY29" s="460">
        <f t="shared" si="50"/>
        <v>0</v>
      </c>
      <c r="AZ29" s="465">
        <v>0</v>
      </c>
      <c r="BA29" s="257">
        <v>3.5926382470707477E-5</v>
      </c>
      <c r="BB29" s="257">
        <v>0</v>
      </c>
      <c r="BC29" s="257">
        <v>3.162241526760021E-5</v>
      </c>
      <c r="BD29" s="257">
        <v>0</v>
      </c>
      <c r="BE29" s="257">
        <v>3.6898438555929065E-5</v>
      </c>
      <c r="BF29" s="257">
        <v>0</v>
      </c>
      <c r="BG29" s="257">
        <v>3.858793486456452E-5</v>
      </c>
      <c r="BH29" s="462">
        <f t="shared" si="51"/>
        <v>1.4303517115880129E-4</v>
      </c>
      <c r="BI29" s="463">
        <f t="shared" si="52"/>
        <v>1.4303517115880129E-4</v>
      </c>
      <c r="BJ29" s="343">
        <v>10</v>
      </c>
      <c r="BK29" s="257">
        <v>0</v>
      </c>
      <c r="BL29" s="257">
        <v>0</v>
      </c>
      <c r="BM29" s="257">
        <v>0</v>
      </c>
      <c r="BN29" s="257">
        <v>0</v>
      </c>
      <c r="BO29" s="257">
        <v>0</v>
      </c>
      <c r="BP29" s="257">
        <v>0</v>
      </c>
      <c r="BQ29" s="257">
        <v>0</v>
      </c>
      <c r="BR29" s="257">
        <v>0</v>
      </c>
      <c r="BS29" s="460">
        <f t="shared" si="53"/>
        <v>0</v>
      </c>
      <c r="BT29" s="465">
        <v>0</v>
      </c>
      <c r="BU29" s="257">
        <v>2.7058143007321009E-6</v>
      </c>
      <c r="BV29" s="257">
        <v>0</v>
      </c>
      <c r="BW29" s="257">
        <v>2.2531022743934384E-6</v>
      </c>
      <c r="BX29" s="257">
        <v>0</v>
      </c>
      <c r="BY29" s="257">
        <v>1.8062503025706631E-6</v>
      </c>
      <c r="BZ29" s="257">
        <v>0</v>
      </c>
      <c r="CA29" s="257">
        <v>1.6555495490664342E-6</v>
      </c>
      <c r="CB29" s="462">
        <f t="shared" si="54"/>
        <v>8.4207164267626369E-6</v>
      </c>
      <c r="CC29" s="463">
        <f t="shared" si="55"/>
        <v>8.4207164267626369E-6</v>
      </c>
      <c r="CD29" s="343">
        <v>10</v>
      </c>
      <c r="CE29" s="462">
        <f t="shared" si="56"/>
        <v>0</v>
      </c>
      <c r="CF29" s="462">
        <f t="shared" si="57"/>
        <v>0</v>
      </c>
      <c r="CG29" s="462">
        <f t="shared" si="58"/>
        <v>0</v>
      </c>
      <c r="CH29" s="462">
        <f t="shared" si="59"/>
        <v>0</v>
      </c>
      <c r="CI29" s="464">
        <f t="shared" si="60"/>
        <v>0</v>
      </c>
      <c r="CJ29" s="462">
        <f t="shared" si="61"/>
        <v>4.7150347147778955E-5</v>
      </c>
      <c r="CK29" s="462">
        <f t="shared" si="62"/>
        <v>4.2271433822308083E-5</v>
      </c>
      <c r="CL29" s="462">
        <f t="shared" si="63"/>
        <v>4.7004218139213242E-5</v>
      </c>
      <c r="CM29" s="462">
        <f t="shared" si="64"/>
        <v>4.893208793788523E-5</v>
      </c>
      <c r="CN29" s="464">
        <f t="shared" si="65"/>
        <v>1.8535808704718554E-4</v>
      </c>
      <c r="CO29" s="462">
        <f t="shared" si="66"/>
        <v>4.7150347147778955E-5</v>
      </c>
      <c r="CP29" s="462">
        <f t="shared" si="67"/>
        <v>4.2271433822308083E-5</v>
      </c>
      <c r="CQ29" s="462">
        <f t="shared" si="68"/>
        <v>4.7004218139213242E-5</v>
      </c>
      <c r="CR29" s="462">
        <f t="shared" si="69"/>
        <v>4.893208793788523E-5</v>
      </c>
      <c r="CS29" s="464">
        <f t="shared" si="70"/>
        <v>1.8535808704718554E-4</v>
      </c>
      <c r="CT29" s="362"/>
      <c r="CV29" s="362"/>
      <c r="CX29" s="362"/>
    </row>
    <row r="30" spans="1:131" ht="15.75" customHeight="1" x14ac:dyDescent="0.25">
      <c r="A30" s="148" t="s">
        <v>142</v>
      </c>
      <c r="B30" s="343">
        <v>11</v>
      </c>
      <c r="C30" s="150">
        <f t="shared" ref="C30:J30" si="71">SUM(C25:C29)</f>
        <v>0</v>
      </c>
      <c r="D30" s="150">
        <f t="shared" si="71"/>
        <v>0</v>
      </c>
      <c r="E30" s="150">
        <f t="shared" si="71"/>
        <v>0</v>
      </c>
      <c r="F30" s="150">
        <f t="shared" si="71"/>
        <v>0</v>
      </c>
      <c r="G30" s="150">
        <f t="shared" si="71"/>
        <v>0</v>
      </c>
      <c r="H30" s="150">
        <f t="shared" si="71"/>
        <v>0</v>
      </c>
      <c r="I30" s="150">
        <f t="shared" si="71"/>
        <v>0</v>
      </c>
      <c r="J30" s="150">
        <f t="shared" si="71"/>
        <v>0</v>
      </c>
      <c r="K30" s="460">
        <f t="shared" si="44"/>
        <v>0</v>
      </c>
      <c r="L30" s="237">
        <f t="shared" ref="L30:S30" si="72">SUM(L25:L29)</f>
        <v>0</v>
      </c>
      <c r="M30" s="150">
        <f t="shared" si="72"/>
        <v>6.0965871268973673E-6</v>
      </c>
      <c r="N30" s="150">
        <f t="shared" si="72"/>
        <v>0</v>
      </c>
      <c r="O30" s="150">
        <f t="shared" si="72"/>
        <v>6.3648149946827081E-6</v>
      </c>
      <c r="P30" s="150">
        <f t="shared" si="72"/>
        <v>0</v>
      </c>
      <c r="Q30" s="150">
        <f t="shared" si="72"/>
        <v>6.6593860938249072E-6</v>
      </c>
      <c r="R30" s="150">
        <f t="shared" si="72"/>
        <v>0</v>
      </c>
      <c r="S30" s="150">
        <f t="shared" si="72"/>
        <v>6.9500183669701495E-6</v>
      </c>
      <c r="T30" s="462">
        <f t="shared" si="45"/>
        <v>2.6070806582375129E-5</v>
      </c>
      <c r="U30" s="463">
        <f t="shared" si="46"/>
        <v>2.6070806582375129E-5</v>
      </c>
      <c r="V30" s="343">
        <v>11</v>
      </c>
      <c r="W30" s="150">
        <f t="shared" ref="W30:AD30" si="73">SUM(W25:W29)</f>
        <v>0</v>
      </c>
      <c r="X30" s="150">
        <f t="shared" si="73"/>
        <v>0</v>
      </c>
      <c r="Y30" s="150">
        <f t="shared" si="73"/>
        <v>0</v>
      </c>
      <c r="Z30" s="150">
        <f t="shared" si="73"/>
        <v>0</v>
      </c>
      <c r="AA30" s="150">
        <f t="shared" si="73"/>
        <v>0</v>
      </c>
      <c r="AB30" s="150">
        <f t="shared" si="73"/>
        <v>0</v>
      </c>
      <c r="AC30" s="150">
        <f t="shared" si="73"/>
        <v>0</v>
      </c>
      <c r="AD30" s="150">
        <f t="shared" si="73"/>
        <v>0</v>
      </c>
      <c r="AE30" s="460">
        <f t="shared" si="47"/>
        <v>0</v>
      </c>
      <c r="AF30" s="237">
        <f t="shared" ref="AF30:AM30" si="74">SUM(AF25:AF29)</f>
        <v>0</v>
      </c>
      <c r="AG30" s="150">
        <f t="shared" si="74"/>
        <v>2.4215632494420104E-6</v>
      </c>
      <c r="AH30" s="150">
        <f t="shared" si="74"/>
        <v>0</v>
      </c>
      <c r="AI30" s="150">
        <f t="shared" si="74"/>
        <v>2.0311012856317284E-6</v>
      </c>
      <c r="AJ30" s="150">
        <f t="shared" si="74"/>
        <v>0</v>
      </c>
      <c r="AK30" s="150">
        <f t="shared" si="74"/>
        <v>1.640143186888605E-6</v>
      </c>
      <c r="AL30" s="150">
        <f t="shared" si="74"/>
        <v>0</v>
      </c>
      <c r="AM30" s="150">
        <f t="shared" si="74"/>
        <v>1.7385851572841262E-6</v>
      </c>
      <c r="AN30" s="462">
        <f t="shared" si="48"/>
        <v>7.8313928792464699E-6</v>
      </c>
      <c r="AO30" s="463">
        <f t="shared" si="49"/>
        <v>7.8313928792464699E-6</v>
      </c>
      <c r="AP30" s="343">
        <v>11</v>
      </c>
      <c r="AQ30" s="150">
        <f t="shared" ref="AQ30:AX30" si="75">SUM(AQ25:AQ29)</f>
        <v>0</v>
      </c>
      <c r="AR30" s="150">
        <f t="shared" si="75"/>
        <v>0</v>
      </c>
      <c r="AS30" s="150">
        <f t="shared" si="75"/>
        <v>0</v>
      </c>
      <c r="AT30" s="150">
        <f t="shared" si="75"/>
        <v>0</v>
      </c>
      <c r="AU30" s="150">
        <f t="shared" si="75"/>
        <v>0</v>
      </c>
      <c r="AV30" s="150">
        <f t="shared" si="75"/>
        <v>0</v>
      </c>
      <c r="AW30" s="150">
        <f t="shared" si="75"/>
        <v>0</v>
      </c>
      <c r="AX30" s="150">
        <f t="shared" si="75"/>
        <v>0</v>
      </c>
      <c r="AY30" s="460">
        <f t="shared" si="50"/>
        <v>0</v>
      </c>
      <c r="AZ30" s="237">
        <f t="shared" ref="AZ30:BG30" si="76">SUM(AZ25:AZ29)</f>
        <v>0</v>
      </c>
      <c r="BA30" s="150">
        <f t="shared" si="76"/>
        <v>3.5926382470707477E-5</v>
      </c>
      <c r="BB30" s="150">
        <f t="shared" si="76"/>
        <v>0</v>
      </c>
      <c r="BC30" s="150">
        <f t="shared" si="76"/>
        <v>3.162241526760021E-5</v>
      </c>
      <c r="BD30" s="150">
        <f t="shared" si="76"/>
        <v>0</v>
      </c>
      <c r="BE30" s="150">
        <f t="shared" si="76"/>
        <v>3.6898438555929065E-5</v>
      </c>
      <c r="BF30" s="150">
        <f t="shared" si="76"/>
        <v>0</v>
      </c>
      <c r="BG30" s="150">
        <f t="shared" si="76"/>
        <v>3.858793486456452E-5</v>
      </c>
      <c r="BH30" s="462">
        <f t="shared" si="51"/>
        <v>1.4303517115880129E-4</v>
      </c>
      <c r="BI30" s="463">
        <f t="shared" si="52"/>
        <v>1.4303517115880129E-4</v>
      </c>
      <c r="BJ30" s="343">
        <v>11</v>
      </c>
      <c r="BK30" s="150">
        <f t="shared" ref="BK30:BR30" si="77">SUM(BK25:BK29)</f>
        <v>4474.9701569073686</v>
      </c>
      <c r="BL30" s="150">
        <f t="shared" si="77"/>
        <v>35782.952614803449</v>
      </c>
      <c r="BM30" s="150">
        <f t="shared" si="77"/>
        <v>4496.2184893272115</v>
      </c>
      <c r="BN30" s="150">
        <f t="shared" si="77"/>
        <v>27327.17059534842</v>
      </c>
      <c r="BO30" s="150">
        <f t="shared" si="77"/>
        <v>4082.8749637151864</v>
      </c>
      <c r="BP30" s="150">
        <f t="shared" si="77"/>
        <v>26084.061873200859</v>
      </c>
      <c r="BQ30" s="150">
        <f t="shared" si="77"/>
        <v>12310.618048484186</v>
      </c>
      <c r="BR30" s="150">
        <f t="shared" si="77"/>
        <v>82764.153837051417</v>
      </c>
      <c r="BS30" s="460">
        <f t="shared" si="53"/>
        <v>197323.02057883813</v>
      </c>
      <c r="BT30" s="237">
        <f t="shared" ref="BT30:CA30" si="78">SUM(BT25:BT29)</f>
        <v>0</v>
      </c>
      <c r="BU30" s="150">
        <f t="shared" si="78"/>
        <v>2.7058143007321009E-6</v>
      </c>
      <c r="BV30" s="150">
        <f t="shared" si="78"/>
        <v>0</v>
      </c>
      <c r="BW30" s="150">
        <f t="shared" si="78"/>
        <v>2.2531022743934384E-6</v>
      </c>
      <c r="BX30" s="150">
        <f t="shared" si="78"/>
        <v>0</v>
      </c>
      <c r="BY30" s="150">
        <f t="shared" si="78"/>
        <v>1.8062503025706631E-6</v>
      </c>
      <c r="BZ30" s="150">
        <f t="shared" si="78"/>
        <v>0</v>
      </c>
      <c r="CA30" s="150">
        <f t="shared" si="78"/>
        <v>1.6555495490664342E-6</v>
      </c>
      <c r="CB30" s="462">
        <f t="shared" si="54"/>
        <v>8.4207164267626369E-6</v>
      </c>
      <c r="CC30" s="463">
        <f t="shared" si="55"/>
        <v>197323.02058725886</v>
      </c>
      <c r="CD30" s="343">
        <v>11</v>
      </c>
      <c r="CE30" s="462">
        <f t="shared" si="56"/>
        <v>40257.922771710815</v>
      </c>
      <c r="CF30" s="462">
        <f t="shared" si="57"/>
        <v>31823.389084675633</v>
      </c>
      <c r="CG30" s="462">
        <f t="shared" si="58"/>
        <v>30166.936836916044</v>
      </c>
      <c r="CH30" s="462">
        <f t="shared" si="59"/>
        <v>95074.771885535607</v>
      </c>
      <c r="CI30" s="464">
        <f t="shared" si="60"/>
        <v>197323.02057883813</v>
      </c>
      <c r="CJ30" s="462">
        <f t="shared" si="61"/>
        <v>4.7150347147778955E-5</v>
      </c>
      <c r="CK30" s="462">
        <f t="shared" si="62"/>
        <v>4.2271433822308083E-5</v>
      </c>
      <c r="CL30" s="462">
        <f t="shared" si="63"/>
        <v>4.7004218139213242E-5</v>
      </c>
      <c r="CM30" s="462">
        <f t="shared" si="64"/>
        <v>4.893208793788523E-5</v>
      </c>
      <c r="CN30" s="464">
        <f t="shared" si="65"/>
        <v>1.8535808704718554E-4</v>
      </c>
      <c r="CO30" s="462">
        <f t="shared" si="66"/>
        <v>40257.92281886116</v>
      </c>
      <c r="CP30" s="462">
        <f t="shared" si="67"/>
        <v>31823.389126947066</v>
      </c>
      <c r="CQ30" s="462">
        <f t="shared" si="68"/>
        <v>30166.936883920262</v>
      </c>
      <c r="CR30" s="462">
        <f t="shared" si="69"/>
        <v>95074.771934467688</v>
      </c>
      <c r="CS30" s="464">
        <f t="shared" si="70"/>
        <v>197323.02076419623</v>
      </c>
    </row>
    <row r="31" spans="1:131" ht="15.75" customHeight="1" x14ac:dyDescent="0.25">
      <c r="A31" s="148" t="s">
        <v>146</v>
      </c>
      <c r="B31" s="343"/>
      <c r="C31" s="207" t="s">
        <v>32</v>
      </c>
      <c r="D31" s="207" t="s">
        <v>32</v>
      </c>
      <c r="E31" s="207" t="s">
        <v>32</v>
      </c>
      <c r="F31" s="207" t="s">
        <v>32</v>
      </c>
      <c r="G31" s="207" t="s">
        <v>32</v>
      </c>
      <c r="H31" s="207" t="s">
        <v>32</v>
      </c>
      <c r="I31" s="207" t="s">
        <v>32</v>
      </c>
      <c r="J31" s="207" t="s">
        <v>32</v>
      </c>
      <c r="K31" s="426"/>
      <c r="L31" s="427" t="s">
        <v>32</v>
      </c>
      <c r="M31" s="207" t="s">
        <v>32</v>
      </c>
      <c r="N31" s="207" t="s">
        <v>32</v>
      </c>
      <c r="O31" s="207" t="s">
        <v>32</v>
      </c>
      <c r="P31" s="207" t="s">
        <v>32</v>
      </c>
      <c r="Q31" s="207" t="s">
        <v>32</v>
      </c>
      <c r="R31" s="207" t="s">
        <v>32</v>
      </c>
      <c r="S31" s="207" t="s">
        <v>32</v>
      </c>
      <c r="T31" s="428"/>
      <c r="U31" s="427" t="s">
        <v>32</v>
      </c>
      <c r="V31" s="343"/>
      <c r="W31" s="207" t="s">
        <v>32</v>
      </c>
      <c r="X31" s="207" t="s">
        <v>32</v>
      </c>
      <c r="Y31" s="207" t="s">
        <v>32</v>
      </c>
      <c r="Z31" s="207" t="s">
        <v>32</v>
      </c>
      <c r="AA31" s="207" t="s">
        <v>32</v>
      </c>
      <c r="AB31" s="207" t="s">
        <v>32</v>
      </c>
      <c r="AC31" s="207" t="s">
        <v>32</v>
      </c>
      <c r="AD31" s="207" t="s">
        <v>32</v>
      </c>
      <c r="AE31" s="426"/>
      <c r="AF31" s="427" t="s">
        <v>32</v>
      </c>
      <c r="AG31" s="207" t="s">
        <v>32</v>
      </c>
      <c r="AH31" s="207" t="s">
        <v>32</v>
      </c>
      <c r="AI31" s="207" t="s">
        <v>32</v>
      </c>
      <c r="AJ31" s="207" t="s">
        <v>32</v>
      </c>
      <c r="AK31" s="207" t="s">
        <v>32</v>
      </c>
      <c r="AL31" s="207" t="s">
        <v>32</v>
      </c>
      <c r="AM31" s="207" t="s">
        <v>32</v>
      </c>
      <c r="AN31" s="428"/>
      <c r="AO31" s="427" t="s">
        <v>32</v>
      </c>
      <c r="AP31" s="343"/>
      <c r="AQ31" s="207" t="s">
        <v>32</v>
      </c>
      <c r="AR31" s="207" t="s">
        <v>32</v>
      </c>
      <c r="AS31" s="207" t="s">
        <v>32</v>
      </c>
      <c r="AT31" s="207" t="s">
        <v>32</v>
      </c>
      <c r="AU31" s="207" t="s">
        <v>32</v>
      </c>
      <c r="AV31" s="207" t="s">
        <v>32</v>
      </c>
      <c r="AW31" s="207" t="s">
        <v>32</v>
      </c>
      <c r="AX31" s="207" t="s">
        <v>32</v>
      </c>
      <c r="AY31" s="426"/>
      <c r="AZ31" s="427" t="s">
        <v>32</v>
      </c>
      <c r="BA31" s="207" t="s">
        <v>32</v>
      </c>
      <c r="BB31" s="207" t="s">
        <v>32</v>
      </c>
      <c r="BC31" s="207" t="s">
        <v>32</v>
      </c>
      <c r="BD31" s="207" t="s">
        <v>32</v>
      </c>
      <c r="BE31" s="207" t="s">
        <v>32</v>
      </c>
      <c r="BF31" s="207" t="s">
        <v>32</v>
      </c>
      <c r="BG31" s="207" t="s">
        <v>32</v>
      </c>
      <c r="BH31" s="428"/>
      <c r="BI31" s="427" t="s">
        <v>32</v>
      </c>
      <c r="BJ31" s="343"/>
      <c r="BK31" s="207" t="s">
        <v>32</v>
      </c>
      <c r="BL31" s="207" t="s">
        <v>32</v>
      </c>
      <c r="BM31" s="207" t="s">
        <v>32</v>
      </c>
      <c r="BN31" s="207" t="s">
        <v>32</v>
      </c>
      <c r="BO31" s="207" t="s">
        <v>32</v>
      </c>
      <c r="BP31" s="207" t="s">
        <v>32</v>
      </c>
      <c r="BQ31" s="207" t="s">
        <v>32</v>
      </c>
      <c r="BR31" s="207" t="s">
        <v>32</v>
      </c>
      <c r="BS31" s="426"/>
      <c r="BT31" s="427" t="s">
        <v>32</v>
      </c>
      <c r="BU31" s="207" t="s">
        <v>32</v>
      </c>
      <c r="BV31" s="207" t="s">
        <v>32</v>
      </c>
      <c r="BW31" s="207" t="s">
        <v>32</v>
      </c>
      <c r="BX31" s="207" t="s">
        <v>32</v>
      </c>
      <c r="BY31" s="207" t="s">
        <v>32</v>
      </c>
      <c r="BZ31" s="207" t="s">
        <v>32</v>
      </c>
      <c r="CA31" s="207" t="s">
        <v>32</v>
      </c>
      <c r="CB31" s="428"/>
      <c r="CC31" s="427" t="s">
        <v>32</v>
      </c>
      <c r="CD31" s="343"/>
      <c r="CE31" s="428"/>
      <c r="CF31" s="428"/>
      <c r="CG31" s="428"/>
      <c r="CH31" s="428"/>
      <c r="CI31" s="207"/>
      <c r="CJ31" s="428"/>
      <c r="CK31" s="428"/>
      <c r="CL31" s="428"/>
      <c r="CM31" s="428"/>
      <c r="CN31" s="207"/>
      <c r="CO31" s="428"/>
      <c r="CP31" s="428"/>
      <c r="CQ31" s="428"/>
      <c r="CR31" s="428"/>
      <c r="CS31" s="207"/>
    </row>
    <row r="32" spans="1:131" s="17" customFormat="1" ht="15.75" customHeight="1" x14ac:dyDescent="0.25">
      <c r="A32" s="19" t="s">
        <v>45</v>
      </c>
      <c r="B32" s="343">
        <v>12</v>
      </c>
      <c r="C32" s="236">
        <f t="shared" ref="C32:U32" si="79">C23+C30</f>
        <v>49112.26</v>
      </c>
      <c r="D32" s="236">
        <f t="shared" si="79"/>
        <v>170821.54</v>
      </c>
      <c r="E32" s="236">
        <f t="shared" si="79"/>
        <v>46845.760000000002</v>
      </c>
      <c r="F32" s="236">
        <f t="shared" si="79"/>
        <v>184600.87</v>
      </c>
      <c r="G32" s="236">
        <f t="shared" si="79"/>
        <v>49078.74</v>
      </c>
      <c r="H32" s="236">
        <f t="shared" si="79"/>
        <v>209230.730000001</v>
      </c>
      <c r="I32" s="236">
        <f t="shared" si="79"/>
        <v>55551.360000000102</v>
      </c>
      <c r="J32" s="236">
        <f t="shared" si="79"/>
        <v>221959.320000001</v>
      </c>
      <c r="K32" s="241">
        <f t="shared" si="79"/>
        <v>987200.58000000205</v>
      </c>
      <c r="L32" s="238">
        <f t="shared" si="79"/>
        <v>0</v>
      </c>
      <c r="M32" s="236">
        <f t="shared" si="79"/>
        <v>525795.64055028721</v>
      </c>
      <c r="N32" s="236">
        <f t="shared" si="79"/>
        <v>0</v>
      </c>
      <c r="O32" s="236">
        <f t="shared" si="79"/>
        <v>546618.33782968402</v>
      </c>
      <c r="P32" s="236">
        <f t="shared" si="79"/>
        <v>0</v>
      </c>
      <c r="Q32" s="236">
        <f t="shared" si="79"/>
        <v>598381.89873708331</v>
      </c>
      <c r="R32" s="236">
        <f t="shared" si="79"/>
        <v>0</v>
      </c>
      <c r="S32" s="236">
        <f t="shared" si="79"/>
        <v>641292.95673415461</v>
      </c>
      <c r="T32" s="239">
        <f t="shared" si="79"/>
        <v>2312088.8338512094</v>
      </c>
      <c r="U32" s="238">
        <f t="shared" si="79"/>
        <v>3299289.4138512113</v>
      </c>
      <c r="V32" s="343">
        <v>12</v>
      </c>
      <c r="W32" s="236">
        <f t="shared" ref="W32:AO32" si="80">W23+W30</f>
        <v>12651.58</v>
      </c>
      <c r="X32" s="236">
        <f t="shared" si="80"/>
        <v>115584</v>
      </c>
      <c r="Y32" s="236">
        <f t="shared" si="80"/>
        <v>10090.74</v>
      </c>
      <c r="Z32" s="236">
        <f t="shared" si="80"/>
        <v>105264</v>
      </c>
      <c r="AA32" s="236">
        <f t="shared" si="80"/>
        <v>24080.22</v>
      </c>
      <c r="AB32" s="236">
        <f t="shared" si="80"/>
        <v>90816</v>
      </c>
      <c r="AC32" s="236">
        <f t="shared" si="80"/>
        <v>24080.22</v>
      </c>
      <c r="AD32" s="236">
        <f t="shared" si="80"/>
        <v>94944</v>
      </c>
      <c r="AE32" s="241">
        <f t="shared" si="80"/>
        <v>477510.76</v>
      </c>
      <c r="AF32" s="238">
        <f t="shared" si="80"/>
        <v>0</v>
      </c>
      <c r="AG32" s="236">
        <f t="shared" si="80"/>
        <v>219204.48487148245</v>
      </c>
      <c r="AH32" s="236">
        <f t="shared" si="80"/>
        <v>0</v>
      </c>
      <c r="AI32" s="236">
        <f t="shared" si="80"/>
        <v>181496.96720042414</v>
      </c>
      <c r="AJ32" s="236">
        <f t="shared" si="80"/>
        <v>0</v>
      </c>
      <c r="AK32" s="236">
        <f t="shared" si="80"/>
        <v>181023.13071546861</v>
      </c>
      <c r="AL32" s="236">
        <f t="shared" si="80"/>
        <v>0</v>
      </c>
      <c r="AM32" s="236">
        <f t="shared" si="80"/>
        <v>186897.00545740541</v>
      </c>
      <c r="AN32" s="239">
        <f t="shared" si="80"/>
        <v>768621.58824478055</v>
      </c>
      <c r="AO32" s="238">
        <f t="shared" si="80"/>
        <v>1246132.3482447807</v>
      </c>
      <c r="AP32" s="343">
        <v>12</v>
      </c>
      <c r="AQ32" s="236">
        <f t="shared" ref="AQ32:BI32" si="81">AQ23+AQ30</f>
        <v>1460521.26</v>
      </c>
      <c r="AR32" s="236">
        <f t="shared" si="81"/>
        <v>3125565.4500000398</v>
      </c>
      <c r="AS32" s="236">
        <f t="shared" si="81"/>
        <v>1579055.86</v>
      </c>
      <c r="AT32" s="236">
        <f t="shared" si="81"/>
        <v>3335673.1100000497</v>
      </c>
      <c r="AU32" s="236">
        <f t="shared" si="81"/>
        <v>1679058.8800000004</v>
      </c>
      <c r="AV32" s="236">
        <f t="shared" si="81"/>
        <v>3734571.5899999202</v>
      </c>
      <c r="AW32" s="236">
        <f t="shared" si="81"/>
        <v>1823318.98</v>
      </c>
      <c r="AX32" s="236">
        <f t="shared" si="81"/>
        <v>4108817.6899999096</v>
      </c>
      <c r="AY32" s="241">
        <f t="shared" si="81"/>
        <v>20846582.819999918</v>
      </c>
      <c r="AZ32" s="238">
        <f t="shared" si="81"/>
        <v>0</v>
      </c>
      <c r="BA32" s="236">
        <f t="shared" si="81"/>
        <v>3342167.8240287649</v>
      </c>
      <c r="BB32" s="236">
        <f t="shared" si="81"/>
        <v>0</v>
      </c>
      <c r="BC32" s="236">
        <f t="shared" si="81"/>
        <v>3152337.6592726884</v>
      </c>
      <c r="BD32" s="236">
        <f t="shared" si="81"/>
        <v>0</v>
      </c>
      <c r="BE32" s="236">
        <f t="shared" si="81"/>
        <v>3604021.3627112615</v>
      </c>
      <c r="BF32" s="236">
        <f t="shared" si="81"/>
        <v>0</v>
      </c>
      <c r="BG32" s="236">
        <f t="shared" si="81"/>
        <v>3754197.1498432248</v>
      </c>
      <c r="BH32" s="239">
        <f t="shared" si="81"/>
        <v>13852723.995855939</v>
      </c>
      <c r="BI32" s="238">
        <f t="shared" si="81"/>
        <v>34699306.815855861</v>
      </c>
      <c r="BJ32" s="343">
        <v>12</v>
      </c>
      <c r="BK32" s="236">
        <f t="shared" ref="BK32:CC32" si="82">BK23+BK30</f>
        <v>64414.070156907372</v>
      </c>
      <c r="BL32" s="236">
        <f t="shared" si="82"/>
        <v>515070.61261480342</v>
      </c>
      <c r="BM32" s="236">
        <f t="shared" si="82"/>
        <v>64435.318489327219</v>
      </c>
      <c r="BN32" s="236">
        <f t="shared" si="82"/>
        <v>391625.75059534848</v>
      </c>
      <c r="BO32" s="236">
        <f t="shared" si="82"/>
        <v>57029.084963715184</v>
      </c>
      <c r="BP32" s="236">
        <f t="shared" si="82"/>
        <v>364338.90187320084</v>
      </c>
      <c r="BQ32" s="236">
        <f t="shared" si="82"/>
        <v>52270.018048484184</v>
      </c>
      <c r="BR32" s="236">
        <f t="shared" si="82"/>
        <v>351410.77383705141</v>
      </c>
      <c r="BS32" s="241">
        <f t="shared" si="82"/>
        <v>1860594.530578838</v>
      </c>
      <c r="BT32" s="238">
        <f t="shared" si="82"/>
        <v>0</v>
      </c>
      <c r="BU32" s="236">
        <f t="shared" si="82"/>
        <v>228138.73715175147</v>
      </c>
      <c r="BV32" s="236">
        <f t="shared" si="82"/>
        <v>0</v>
      </c>
      <c r="BW32" s="236">
        <f t="shared" si="82"/>
        <v>193981.58145517053</v>
      </c>
      <c r="BX32" s="236">
        <f t="shared" si="82"/>
        <v>0</v>
      </c>
      <c r="BY32" s="236">
        <f t="shared" si="82"/>
        <v>161025.81252937095</v>
      </c>
      <c r="BZ32" s="236">
        <f t="shared" si="82"/>
        <v>0</v>
      </c>
      <c r="CA32" s="236">
        <f t="shared" si="82"/>
        <v>147176.96706886031</v>
      </c>
      <c r="CB32" s="239">
        <f t="shared" si="82"/>
        <v>730323.09820515325</v>
      </c>
      <c r="CC32" s="238">
        <f t="shared" si="82"/>
        <v>2590917.6287839916</v>
      </c>
      <c r="CD32" s="343">
        <v>12</v>
      </c>
      <c r="CE32" s="239">
        <f t="shared" ref="CE32:CH32" si="83">CE23+CE30</f>
        <v>5513740.7727717506</v>
      </c>
      <c r="CF32" s="239">
        <f t="shared" si="83"/>
        <v>5717591.4090847252</v>
      </c>
      <c r="CG32" s="239">
        <f t="shared" si="83"/>
        <v>6208204.1468368378</v>
      </c>
      <c r="CH32" s="239">
        <f t="shared" si="83"/>
        <v>6732352.3618854471</v>
      </c>
      <c r="CI32" s="236">
        <f>SUM(BS32,AY32,AE32,K32)</f>
        <v>24171888.690578759</v>
      </c>
      <c r="CJ32" s="239">
        <f t="shared" ref="CJ32:CM32" si="84">CJ23+CJ30</f>
        <v>4315306.6866022861</v>
      </c>
      <c r="CK32" s="239">
        <f t="shared" si="84"/>
        <v>4074434.5457579666</v>
      </c>
      <c r="CL32" s="239">
        <f t="shared" si="84"/>
        <v>4544452.2046931833</v>
      </c>
      <c r="CM32" s="239">
        <f t="shared" si="84"/>
        <v>4729564.079103644</v>
      </c>
      <c r="CN32" s="236">
        <f>SUM(BX32,BD32,AJ32,P32)</f>
        <v>0</v>
      </c>
      <c r="CO32" s="239">
        <f t="shared" ref="CO32:CR32" si="85">CO23+CO30</f>
        <v>9829047.4593740366</v>
      </c>
      <c r="CP32" s="239">
        <f t="shared" si="85"/>
        <v>9792025.9548426922</v>
      </c>
      <c r="CQ32" s="239">
        <f t="shared" si="85"/>
        <v>10752656.351530023</v>
      </c>
      <c r="CR32" s="239">
        <f t="shared" si="85"/>
        <v>11461916.440989092</v>
      </c>
      <c r="CS32" s="236">
        <f>SUM(CC32,BI32,AO32,U32)</f>
        <v>41835646.206735842</v>
      </c>
      <c r="CT32" s="360"/>
      <c r="CU32" s="360"/>
      <c r="CV32" s="360"/>
      <c r="CW32" s="360"/>
      <c r="CX32" s="360"/>
      <c r="CY32" s="361"/>
      <c r="CZ32" s="361"/>
      <c r="DA32" s="361"/>
      <c r="DB32" s="361"/>
      <c r="DC32" s="361"/>
      <c r="DD32" s="361"/>
      <c r="DE32" s="361"/>
      <c r="DF32" s="361"/>
      <c r="DG32" s="361"/>
      <c r="DH32" s="361"/>
      <c r="DI32" s="361"/>
      <c r="DJ32" s="361"/>
      <c r="DK32" s="361"/>
      <c r="DL32" s="361"/>
      <c r="DM32" s="361"/>
      <c r="DN32" s="361"/>
      <c r="DO32" s="361"/>
      <c r="DP32" s="361"/>
      <c r="DQ32" s="361"/>
      <c r="DR32" s="361"/>
      <c r="DS32" s="361"/>
      <c r="DT32" s="361"/>
      <c r="DU32" s="361"/>
      <c r="DV32" s="361"/>
      <c r="DW32" s="361"/>
      <c r="DX32" s="361"/>
      <c r="DY32" s="361"/>
      <c r="DZ32" s="361"/>
      <c r="EA32" s="361"/>
    </row>
    <row r="33" spans="1:102" ht="15.75" customHeight="1" x14ac:dyDescent="0.25">
      <c r="B33" s="213"/>
      <c r="C33" s="198"/>
      <c r="D33" s="198"/>
      <c r="E33" s="198"/>
      <c r="F33" s="198"/>
      <c r="G33" s="198"/>
      <c r="H33" s="198"/>
      <c r="I33" s="198"/>
      <c r="J33" s="198"/>
      <c r="K33" s="429"/>
      <c r="L33" s="430"/>
      <c r="M33" s="198"/>
      <c r="N33" s="198"/>
      <c r="O33" s="198"/>
      <c r="P33" s="198"/>
      <c r="Q33" s="198"/>
      <c r="R33" s="198"/>
      <c r="S33" s="198"/>
      <c r="T33" s="198"/>
      <c r="U33" s="430"/>
      <c r="V33" s="213"/>
      <c r="W33" s="198"/>
      <c r="X33" s="198"/>
      <c r="Y33" s="198"/>
      <c r="Z33" s="198"/>
      <c r="AA33" s="198"/>
      <c r="AB33" s="198"/>
      <c r="AC33" s="198"/>
      <c r="AD33" s="198"/>
      <c r="AE33" s="429"/>
      <c r="AF33" s="430"/>
      <c r="AG33" s="198"/>
      <c r="AH33" s="198"/>
      <c r="AI33" s="198"/>
      <c r="AJ33" s="198"/>
      <c r="AK33" s="198"/>
      <c r="AL33" s="198"/>
      <c r="AM33" s="198"/>
      <c r="AN33" s="198"/>
      <c r="AO33" s="430"/>
      <c r="AP33" s="213"/>
      <c r="AQ33" s="198"/>
      <c r="AR33" s="198"/>
      <c r="AS33" s="198"/>
      <c r="AT33" s="198"/>
      <c r="AU33" s="198"/>
      <c r="AV33" s="198"/>
      <c r="AW33" s="198"/>
      <c r="AX33" s="198"/>
      <c r="AY33" s="429"/>
      <c r="AZ33" s="430"/>
      <c r="BA33" s="198"/>
      <c r="BB33" s="198"/>
      <c r="BC33" s="198"/>
      <c r="BD33" s="198"/>
      <c r="BE33" s="198"/>
      <c r="BF33" s="198"/>
      <c r="BG33" s="198"/>
      <c r="BH33" s="198"/>
      <c r="BI33" s="430"/>
      <c r="BJ33" s="213"/>
      <c r="BK33" s="198"/>
      <c r="BL33" s="198"/>
      <c r="BM33" s="198"/>
      <c r="BN33" s="198"/>
      <c r="BO33" s="198"/>
      <c r="BP33" s="198"/>
      <c r="BQ33" s="198"/>
      <c r="BR33" s="198"/>
      <c r="BS33" s="429"/>
      <c r="BT33" s="430"/>
      <c r="BU33" s="198"/>
      <c r="BV33" s="198"/>
      <c r="BW33" s="198"/>
      <c r="BX33" s="198"/>
      <c r="BY33" s="198"/>
      <c r="BZ33" s="198"/>
      <c r="CA33" s="198"/>
      <c r="CB33" s="198"/>
      <c r="CC33" s="430"/>
      <c r="CD33" s="213"/>
      <c r="CE33" s="198"/>
      <c r="CF33" s="198"/>
      <c r="CG33" s="198"/>
      <c r="CH33" s="198"/>
      <c r="CI33" s="467"/>
      <c r="CJ33" s="198"/>
      <c r="CK33" s="198"/>
      <c r="CL33" s="198"/>
      <c r="CM33" s="198"/>
      <c r="CN33" s="467"/>
      <c r="CO33" s="198"/>
      <c r="CP33" s="198"/>
      <c r="CQ33" s="198"/>
      <c r="CR33" s="198"/>
      <c r="CS33" s="467"/>
      <c r="CT33" s="362"/>
      <c r="CU33" s="362"/>
      <c r="CV33" s="362"/>
      <c r="CW33" s="362"/>
      <c r="CX33" s="362"/>
    </row>
    <row r="34" spans="1:102" ht="15.75" customHeight="1" x14ac:dyDescent="0.25">
      <c r="A34" s="19" t="s">
        <v>327</v>
      </c>
      <c r="B34" s="213"/>
      <c r="C34" s="198"/>
      <c r="D34" s="198"/>
      <c r="E34" s="198"/>
      <c r="F34" s="198"/>
      <c r="G34" s="198"/>
      <c r="H34" s="198"/>
      <c r="I34" s="198"/>
      <c r="J34" s="198"/>
      <c r="K34" s="429"/>
      <c r="L34" s="430"/>
      <c r="M34" s="198"/>
      <c r="N34" s="198"/>
      <c r="O34" s="198"/>
      <c r="P34" s="198"/>
      <c r="Q34" s="198"/>
      <c r="R34" s="198"/>
      <c r="S34" s="198"/>
      <c r="T34" s="198"/>
      <c r="U34" s="430"/>
      <c r="V34" s="213"/>
      <c r="W34" s="198"/>
      <c r="X34" s="198"/>
      <c r="Y34" s="198"/>
      <c r="Z34" s="198"/>
      <c r="AA34" s="198"/>
      <c r="AB34" s="198"/>
      <c r="AC34" s="198"/>
      <c r="AD34" s="198"/>
      <c r="AE34" s="429"/>
      <c r="AF34" s="430"/>
      <c r="AG34" s="198"/>
      <c r="AH34" s="198"/>
      <c r="AI34" s="198"/>
      <c r="AJ34" s="198"/>
      <c r="AK34" s="198"/>
      <c r="AL34" s="198"/>
      <c r="AM34" s="198"/>
      <c r="AN34" s="198"/>
      <c r="AO34" s="430"/>
      <c r="AP34" s="213"/>
      <c r="AQ34" s="198"/>
      <c r="AR34" s="198"/>
      <c r="AS34" s="198"/>
      <c r="AT34" s="198"/>
      <c r="AU34" s="198"/>
      <c r="AV34" s="198"/>
      <c r="AW34" s="198"/>
      <c r="AX34" s="198"/>
      <c r="AY34" s="429"/>
      <c r="AZ34" s="430"/>
      <c r="BA34" s="198"/>
      <c r="BB34" s="198"/>
      <c r="BC34" s="198"/>
      <c r="BD34" s="198"/>
      <c r="BE34" s="198"/>
      <c r="BF34" s="198"/>
      <c r="BG34" s="198"/>
      <c r="BH34" s="198"/>
      <c r="BI34" s="430"/>
      <c r="BJ34" s="213"/>
      <c r="BK34" s="198"/>
      <c r="BL34" s="198"/>
      <c r="BM34" s="198"/>
      <c r="BN34" s="198"/>
      <c r="BO34" s="198"/>
      <c r="BP34" s="198"/>
      <c r="BQ34" s="198"/>
      <c r="BR34" s="198"/>
      <c r="BS34" s="429"/>
      <c r="BT34" s="430"/>
      <c r="BU34" s="198"/>
      <c r="BV34" s="198"/>
      <c r="BW34" s="198"/>
      <c r="BX34" s="198"/>
      <c r="BY34" s="198"/>
      <c r="BZ34" s="198"/>
      <c r="CA34" s="198"/>
      <c r="CB34" s="198"/>
      <c r="CC34" s="430"/>
      <c r="CD34" s="213"/>
      <c r="CE34" s="198"/>
      <c r="CF34" s="198"/>
      <c r="CG34" s="198"/>
      <c r="CH34" s="198"/>
      <c r="CI34" s="467"/>
      <c r="CJ34" s="198"/>
      <c r="CK34" s="198"/>
      <c r="CL34" s="198"/>
      <c r="CM34" s="198"/>
      <c r="CN34" s="467"/>
      <c r="CO34" s="198"/>
      <c r="CP34" s="198"/>
      <c r="CQ34" s="198"/>
      <c r="CR34" s="198"/>
      <c r="CS34" s="467"/>
      <c r="CT34" s="362"/>
      <c r="CV34" s="362"/>
      <c r="CX34" s="362"/>
    </row>
    <row r="35" spans="1:102" ht="15.75" customHeight="1" x14ac:dyDescent="0.25">
      <c r="A35" s="94" t="s">
        <v>281</v>
      </c>
      <c r="B35" s="343">
        <v>13</v>
      </c>
      <c r="C35" s="257">
        <v>0</v>
      </c>
      <c r="D35" s="257">
        <v>8183.9999999999918</v>
      </c>
      <c r="E35" s="257">
        <v>57713.008616509571</v>
      </c>
      <c r="F35" s="257">
        <v>22850.382958286518</v>
      </c>
      <c r="G35" s="257">
        <v>4577.9821806343607</v>
      </c>
      <c r="H35" s="257">
        <v>13073.769259620412</v>
      </c>
      <c r="I35" s="257">
        <v>45811.150674369565</v>
      </c>
      <c r="J35" s="257">
        <v>11486.13304696271</v>
      </c>
      <c r="K35" s="460">
        <f t="shared" ref="K35:K64" si="86">SUM(C35:J35)</f>
        <v>163696.42673638309</v>
      </c>
      <c r="L35" s="465">
        <v>0</v>
      </c>
      <c r="M35" s="257">
        <v>58598.779999999992</v>
      </c>
      <c r="N35" s="257">
        <v>0</v>
      </c>
      <c r="O35" s="257">
        <v>188183.1757713125</v>
      </c>
      <c r="P35" s="257">
        <v>0</v>
      </c>
      <c r="Q35" s="257">
        <v>235310.42984678946</v>
      </c>
      <c r="R35" s="257">
        <v>0</v>
      </c>
      <c r="S35" s="257">
        <v>165742.80489993675</v>
      </c>
      <c r="T35" s="462">
        <f t="shared" ref="T35:T64" si="87">SUM(L35:S35)</f>
        <v>647835.1905180387</v>
      </c>
      <c r="U35" s="463">
        <f t="shared" ref="U35:U64" si="88">SUM(T35,K35)</f>
        <v>811531.61725442181</v>
      </c>
      <c r="V35" s="343">
        <v>13</v>
      </c>
      <c r="W35" s="257">
        <v>0</v>
      </c>
      <c r="X35" s="257">
        <v>4091.9999999999959</v>
      </c>
      <c r="Y35" s="257">
        <v>0</v>
      </c>
      <c r="Z35" s="257">
        <v>3264.3404226123594</v>
      </c>
      <c r="AA35" s="257">
        <v>0</v>
      </c>
      <c r="AB35" s="257">
        <v>0</v>
      </c>
      <c r="AC35" s="257">
        <v>0</v>
      </c>
      <c r="AD35" s="257">
        <v>1640.8761495661015</v>
      </c>
      <c r="AE35" s="460">
        <f t="shared" ref="AE35:AE64" si="89">SUM(W35:AD35)</f>
        <v>8997.2165721784568</v>
      </c>
      <c r="AF35" s="465">
        <v>0</v>
      </c>
      <c r="AG35" s="257">
        <v>52774.7</v>
      </c>
      <c r="AH35" s="257">
        <v>0</v>
      </c>
      <c r="AI35" s="257">
        <v>24738.750268677275</v>
      </c>
      <c r="AJ35" s="257">
        <v>0</v>
      </c>
      <c r="AK35" s="257">
        <v>0</v>
      </c>
      <c r="AL35" s="257">
        <v>0</v>
      </c>
      <c r="AM35" s="257">
        <v>10282.814058629405</v>
      </c>
      <c r="AN35" s="462">
        <f t="shared" ref="AN35:AN64" si="90">SUM(AF35:AM35)</f>
        <v>87796.264327306679</v>
      </c>
      <c r="AO35" s="463">
        <f t="shared" ref="AO35:AO64" si="91">SUM(AN35,AE35)</f>
        <v>96793.480899485134</v>
      </c>
      <c r="AP35" s="343">
        <v>13</v>
      </c>
      <c r="AQ35" s="257">
        <v>103037.28999999989</v>
      </c>
      <c r="AR35" s="257">
        <v>43532.399999999958</v>
      </c>
      <c r="AS35" s="257">
        <v>29154.140347308567</v>
      </c>
      <c r="AT35" s="257">
        <v>40091.780982081873</v>
      </c>
      <c r="AU35" s="257">
        <v>43415.698599945754</v>
      </c>
      <c r="AV35" s="257">
        <v>24513.317361788271</v>
      </c>
      <c r="AW35" s="257">
        <v>116876.96382950434</v>
      </c>
      <c r="AX35" s="257">
        <v>28776.493460653168</v>
      </c>
      <c r="AY35" s="460">
        <f t="shared" ref="AY35:AY64" si="92">SUM(AQ35:AX35)</f>
        <v>429398.08458128182</v>
      </c>
      <c r="AZ35" s="465">
        <v>0</v>
      </c>
      <c r="BA35" s="257">
        <v>478954.73999999993</v>
      </c>
      <c r="BB35" s="257">
        <v>0</v>
      </c>
      <c r="BC35" s="257">
        <v>450182.94130777795</v>
      </c>
      <c r="BD35" s="257">
        <v>0</v>
      </c>
      <c r="BE35" s="257">
        <v>546904.93098916241</v>
      </c>
      <c r="BF35" s="257">
        <v>0</v>
      </c>
      <c r="BG35" s="257">
        <v>416932.97042406659</v>
      </c>
      <c r="BH35" s="462">
        <f t="shared" ref="BH35:BH64" si="93">SUM(AZ35:BG35)</f>
        <v>1892975.5827210068</v>
      </c>
      <c r="BI35" s="463">
        <f t="shared" ref="BI35:BI64" si="94">SUM(BH35,AY35)</f>
        <v>2322373.6673022886</v>
      </c>
      <c r="BJ35" s="343">
        <v>13</v>
      </c>
      <c r="BK35" s="257">
        <v>0</v>
      </c>
      <c r="BL35" s="257">
        <v>1363.9999999999986</v>
      </c>
      <c r="BM35" s="257">
        <v>0</v>
      </c>
      <c r="BN35" s="257">
        <v>3264.3404226123598</v>
      </c>
      <c r="BO35" s="257">
        <v>0</v>
      </c>
      <c r="BP35" s="257">
        <v>0</v>
      </c>
      <c r="BQ35" s="257">
        <v>0</v>
      </c>
      <c r="BR35" s="257">
        <v>3281.752299132203</v>
      </c>
      <c r="BS35" s="460">
        <f t="shared" ref="BS35:BS64" si="95">SUM(BK35:BR35)</f>
        <v>7910.0927217445615</v>
      </c>
      <c r="BT35" s="465">
        <v>0</v>
      </c>
      <c r="BU35" s="257">
        <v>17997.650000000001</v>
      </c>
      <c r="BV35" s="257">
        <v>0</v>
      </c>
      <c r="BW35" s="257">
        <v>14452.666595072898</v>
      </c>
      <c r="BX35" s="257">
        <v>0</v>
      </c>
      <c r="BY35" s="257">
        <v>22694.953708575529</v>
      </c>
      <c r="BZ35" s="257">
        <v>0</v>
      </c>
      <c r="CA35" s="257">
        <v>70926.224895776744</v>
      </c>
      <c r="CB35" s="462">
        <f t="shared" ref="CB35:CB64" si="96">SUM(BT35:CA35)</f>
        <v>126071.49519942518</v>
      </c>
      <c r="CC35" s="463">
        <f t="shared" ref="CC35:CC64" si="97">SUM(CB35,BS35)</f>
        <v>133981.58792116973</v>
      </c>
      <c r="CD35" s="343">
        <v>13</v>
      </c>
      <c r="CE35" s="462">
        <f t="shared" ref="CE35:CE64" si="98">+C35+D35+W35+X35+AQ35+AR35+BK35+BL35</f>
        <v>160209.68999999983</v>
      </c>
      <c r="CF35" s="462">
        <f t="shared" ref="CF35:CF64" si="99">+E35+F35+Y35+Z35+AS35+AT35+BM35+BN35</f>
        <v>156337.99374941122</v>
      </c>
      <c r="CG35" s="462">
        <f t="shared" ref="CG35:CG64" si="100">+G35+H35+AA35+AB35+AU35+AV35+BO35+BP35</f>
        <v>85580.767401988793</v>
      </c>
      <c r="CH35" s="462">
        <f t="shared" ref="CH35:CH64" si="101">+I35+J35+AC35+AD35+AW35+AX35+BQ35+BR35</f>
        <v>207873.36946018811</v>
      </c>
      <c r="CI35" s="464">
        <f t="shared" ref="CI35:CI64" si="102">SUM(K35,AE35,AY35,BS35)</f>
        <v>610001.82061158796</v>
      </c>
      <c r="CJ35" s="462">
        <f t="shared" ref="CJ35:CJ64" si="103">L35+M35+AF35+AG35+AZ35+BA35+BT35+BU35</f>
        <v>608325.87</v>
      </c>
      <c r="CK35" s="462">
        <f t="shared" ref="CK35:CK64" si="104">N35+O35+AH35+AI35+BB35+BC35+BV35+BW35</f>
        <v>677557.53394284064</v>
      </c>
      <c r="CL35" s="462">
        <f t="shared" ref="CL35:CL64" si="105">P35+Q35+AJ35+AK35+BD35+BE35+BX35+BY35</f>
        <v>804910.31454452744</v>
      </c>
      <c r="CM35" s="462">
        <f t="shared" ref="CM35:CM64" si="106">+R35+S35+AL35+AM35+BF35+BG35+BZ35+CA35</f>
        <v>663884.81427840947</v>
      </c>
      <c r="CN35" s="464">
        <f t="shared" ref="CN35:CN64" si="107">SUM(T35,AN35,BH35,CB35)</f>
        <v>2754678.5327657773</v>
      </c>
      <c r="CO35" s="462">
        <f t="shared" ref="CO35:CO64" si="108">+C35+D35+L35+M35+W35+X35+AF35+AG35+AQ35+AR35+AZ35+BA35+BK35+BL35+BT35+BU35</f>
        <v>768535.55999999971</v>
      </c>
      <c r="CP35" s="462">
        <f t="shared" ref="CP35:CP64" si="109">+E35+F35+N35+O35+Y35+Z35+AH35+AI35+AS35+AT35+BB35+BC35+BM35+BN35+BV35+BW35</f>
        <v>833895.52769225207</v>
      </c>
      <c r="CQ35" s="462">
        <f t="shared" ref="CQ35:CQ64" si="110">+G35+H35+P35+Q35+AA35+AB35+AJ35+AK35+AU35+AV35+BD35+BE35+BO35+BP35+BX35+BY35</f>
        <v>890491.08194651618</v>
      </c>
      <c r="CR35" s="462">
        <f t="shared" ref="CR35:CR64" si="111">+I35+J35+R35+S35+AC35+AD35+AL35+AM35+AW35+AX35+BF35+BG35+BQ35+BR35+BZ35+CA35</f>
        <v>871758.18373859755</v>
      </c>
      <c r="CS35" s="464">
        <f t="shared" ref="CS35:CS64" si="112">SUM(CC35,BI35,AO35,U35)</f>
        <v>3364680.3533773655</v>
      </c>
      <c r="CT35" s="362"/>
      <c r="CV35" s="362"/>
      <c r="CX35" s="362"/>
    </row>
    <row r="36" spans="1:102" ht="15.75" customHeight="1" x14ac:dyDescent="0.25">
      <c r="A36" s="94" t="s">
        <v>282</v>
      </c>
      <c r="B36" s="343">
        <v>14</v>
      </c>
      <c r="C36" s="257">
        <v>0</v>
      </c>
      <c r="D36" s="257">
        <v>0</v>
      </c>
      <c r="E36" s="257">
        <v>0</v>
      </c>
      <c r="F36" s="257">
        <v>0</v>
      </c>
      <c r="G36" s="257">
        <v>0</v>
      </c>
      <c r="H36" s="257">
        <v>0</v>
      </c>
      <c r="I36" s="257">
        <v>0</v>
      </c>
      <c r="J36" s="257">
        <v>0</v>
      </c>
      <c r="K36" s="460">
        <f t="shared" si="86"/>
        <v>0</v>
      </c>
      <c r="L36" s="465">
        <v>0</v>
      </c>
      <c r="M36" s="257">
        <v>0</v>
      </c>
      <c r="N36" s="257">
        <v>0</v>
      </c>
      <c r="O36" s="257">
        <v>0</v>
      </c>
      <c r="P36" s="257">
        <v>0</v>
      </c>
      <c r="Q36" s="257">
        <v>0</v>
      </c>
      <c r="R36" s="257">
        <v>0</v>
      </c>
      <c r="S36" s="257">
        <v>0</v>
      </c>
      <c r="T36" s="462">
        <f t="shared" si="87"/>
        <v>0</v>
      </c>
      <c r="U36" s="463">
        <f t="shared" si="88"/>
        <v>0</v>
      </c>
      <c r="V36" s="343">
        <v>14</v>
      </c>
      <c r="W36" s="257">
        <v>0</v>
      </c>
      <c r="X36" s="257">
        <v>0</v>
      </c>
      <c r="Y36" s="257">
        <v>1704.4477487884701</v>
      </c>
      <c r="Z36" s="257">
        <v>0</v>
      </c>
      <c r="AA36" s="257">
        <v>0</v>
      </c>
      <c r="AB36" s="257">
        <v>0</v>
      </c>
      <c r="AC36" s="257">
        <v>0</v>
      </c>
      <c r="AD36" s="257">
        <v>0</v>
      </c>
      <c r="AE36" s="460">
        <f t="shared" si="89"/>
        <v>1704.4477487884701</v>
      </c>
      <c r="AF36" s="465">
        <v>0</v>
      </c>
      <c r="AG36" s="257">
        <v>0</v>
      </c>
      <c r="AH36" s="257">
        <v>0</v>
      </c>
      <c r="AI36" s="257">
        <v>0</v>
      </c>
      <c r="AJ36" s="257">
        <v>0</v>
      </c>
      <c r="AK36" s="257">
        <v>0</v>
      </c>
      <c r="AL36" s="257">
        <v>0</v>
      </c>
      <c r="AM36" s="257">
        <v>0</v>
      </c>
      <c r="AN36" s="462">
        <f t="shared" si="90"/>
        <v>0</v>
      </c>
      <c r="AO36" s="463">
        <f t="shared" si="91"/>
        <v>1704.4477487884701</v>
      </c>
      <c r="AP36" s="343">
        <v>14</v>
      </c>
      <c r="AQ36" s="257">
        <v>0</v>
      </c>
      <c r="AR36" s="257">
        <v>1363.9999999999986</v>
      </c>
      <c r="AS36" s="257">
        <v>0</v>
      </c>
      <c r="AT36" s="257">
        <v>0</v>
      </c>
      <c r="AU36" s="257">
        <v>0</v>
      </c>
      <c r="AV36" s="257">
        <v>1634.2211574525516</v>
      </c>
      <c r="AW36" s="257">
        <v>0</v>
      </c>
      <c r="AX36" s="257">
        <v>0</v>
      </c>
      <c r="AY36" s="460">
        <f t="shared" si="92"/>
        <v>2998.22115745255</v>
      </c>
      <c r="AZ36" s="465">
        <v>0</v>
      </c>
      <c r="BA36" s="257">
        <v>30203.429999999997</v>
      </c>
      <c r="BB36" s="257">
        <v>0</v>
      </c>
      <c r="BC36" s="257">
        <v>0</v>
      </c>
      <c r="BD36" s="257">
        <v>0</v>
      </c>
      <c r="BE36" s="257">
        <v>26963.197577806244</v>
      </c>
      <c r="BF36" s="257">
        <v>0</v>
      </c>
      <c r="BG36" s="257">
        <v>17370.300900123282</v>
      </c>
      <c r="BH36" s="462">
        <f t="shared" si="93"/>
        <v>74536.928477929527</v>
      </c>
      <c r="BI36" s="463">
        <f t="shared" si="94"/>
        <v>77535.149635382084</v>
      </c>
      <c r="BJ36" s="343">
        <v>14</v>
      </c>
      <c r="BK36" s="257">
        <v>0</v>
      </c>
      <c r="BL36" s="257">
        <v>0</v>
      </c>
      <c r="BM36" s="257">
        <v>0</v>
      </c>
      <c r="BN36" s="257">
        <v>0</v>
      </c>
      <c r="BO36" s="257">
        <v>0</v>
      </c>
      <c r="BP36" s="257">
        <v>1634.2211574525516</v>
      </c>
      <c r="BQ36" s="257">
        <v>0</v>
      </c>
      <c r="BR36" s="257">
        <v>0</v>
      </c>
      <c r="BS36" s="460">
        <f t="shared" si="95"/>
        <v>1634.2211574525516</v>
      </c>
      <c r="BT36" s="465">
        <v>0</v>
      </c>
      <c r="BU36" s="257">
        <v>0</v>
      </c>
      <c r="BV36" s="257">
        <v>0</v>
      </c>
      <c r="BW36" s="257">
        <v>0</v>
      </c>
      <c r="BX36" s="257">
        <v>0</v>
      </c>
      <c r="BY36" s="257">
        <v>4298.6364650038504</v>
      </c>
      <c r="BZ36" s="257">
        <v>0</v>
      </c>
      <c r="CA36" s="257">
        <v>0</v>
      </c>
      <c r="CB36" s="462">
        <f t="shared" si="96"/>
        <v>4298.6364650038504</v>
      </c>
      <c r="CC36" s="463">
        <f t="shared" si="97"/>
        <v>5932.8576224564022</v>
      </c>
      <c r="CD36" s="343">
        <v>14</v>
      </c>
      <c r="CE36" s="462">
        <f t="shared" si="98"/>
        <v>1363.9999999999986</v>
      </c>
      <c r="CF36" s="462">
        <f t="shared" si="99"/>
        <v>1704.4477487884701</v>
      </c>
      <c r="CG36" s="462">
        <f t="shared" si="100"/>
        <v>3268.4423149051031</v>
      </c>
      <c r="CH36" s="462">
        <f t="shared" si="101"/>
        <v>0</v>
      </c>
      <c r="CI36" s="464">
        <f t="shared" si="102"/>
        <v>6336.8900636935723</v>
      </c>
      <c r="CJ36" s="462">
        <f t="shared" si="103"/>
        <v>30203.429999999997</v>
      </c>
      <c r="CK36" s="462">
        <f t="shared" si="104"/>
        <v>0</v>
      </c>
      <c r="CL36" s="462">
        <f t="shared" si="105"/>
        <v>31261.834042810093</v>
      </c>
      <c r="CM36" s="462">
        <f t="shared" si="106"/>
        <v>17370.300900123282</v>
      </c>
      <c r="CN36" s="464">
        <f t="shared" si="107"/>
        <v>78835.564942933372</v>
      </c>
      <c r="CO36" s="462">
        <f t="shared" si="108"/>
        <v>31567.429999999997</v>
      </c>
      <c r="CP36" s="462">
        <f t="shared" si="109"/>
        <v>1704.4477487884701</v>
      </c>
      <c r="CQ36" s="462">
        <f t="shared" si="110"/>
        <v>34530.276357715193</v>
      </c>
      <c r="CR36" s="462">
        <f t="shared" si="111"/>
        <v>17370.300900123282</v>
      </c>
      <c r="CS36" s="464">
        <f t="shared" si="112"/>
        <v>85172.455006626958</v>
      </c>
      <c r="CT36" s="362"/>
      <c r="CV36" s="362"/>
      <c r="CX36" s="362"/>
    </row>
    <row r="37" spans="1:102" ht="15.75" customHeight="1" x14ac:dyDescent="0.25">
      <c r="A37" s="94" t="s">
        <v>283</v>
      </c>
      <c r="B37" s="343">
        <v>15</v>
      </c>
      <c r="C37" s="257">
        <v>5996.2599999999939</v>
      </c>
      <c r="D37" s="257">
        <v>17405.949999999979</v>
      </c>
      <c r="E37" s="257">
        <v>27704.109130416036</v>
      </c>
      <c r="F37" s="257">
        <v>43337.969511719202</v>
      </c>
      <c r="G37" s="257">
        <v>27183.796953548273</v>
      </c>
      <c r="H37" s="257">
        <v>28072.675075384021</v>
      </c>
      <c r="I37" s="257">
        <v>10327.495517259595</v>
      </c>
      <c r="J37" s="257">
        <v>21808.269575326976</v>
      </c>
      <c r="K37" s="460">
        <f t="shared" si="86"/>
        <v>181836.52576365406</v>
      </c>
      <c r="L37" s="465">
        <v>0</v>
      </c>
      <c r="M37" s="257">
        <v>60373.880000000041</v>
      </c>
      <c r="N37" s="257">
        <v>0</v>
      </c>
      <c r="O37" s="257">
        <v>187905.61837276121</v>
      </c>
      <c r="P37" s="257">
        <v>0</v>
      </c>
      <c r="Q37" s="257">
        <v>183824.42973448453</v>
      </c>
      <c r="R37" s="257">
        <v>0</v>
      </c>
      <c r="S37" s="257">
        <v>179395.0660274667</v>
      </c>
      <c r="T37" s="462">
        <f t="shared" si="87"/>
        <v>611498.9941347125</v>
      </c>
      <c r="U37" s="463">
        <f t="shared" si="88"/>
        <v>793335.51989836653</v>
      </c>
      <c r="V37" s="343">
        <v>15</v>
      </c>
      <c r="W37" s="257">
        <v>1679.3399999999983</v>
      </c>
      <c r="X37" s="257">
        <v>7188.5899999999938</v>
      </c>
      <c r="Y37" s="257">
        <v>891.60298105488505</v>
      </c>
      <c r="Z37" s="257">
        <v>1466.4329273492804</v>
      </c>
      <c r="AA37" s="257">
        <v>8032.8779143615648</v>
      </c>
      <c r="AB37" s="257">
        <v>2278.2865411914645</v>
      </c>
      <c r="AC37" s="257">
        <v>516.71511690258012</v>
      </c>
      <c r="AD37" s="257">
        <v>1003.6290272652466</v>
      </c>
      <c r="AE37" s="460">
        <f t="shared" si="89"/>
        <v>23057.474508125015</v>
      </c>
      <c r="AF37" s="465">
        <v>0</v>
      </c>
      <c r="AG37" s="257">
        <v>33220.049999999981</v>
      </c>
      <c r="AH37" s="257">
        <v>0</v>
      </c>
      <c r="AI37" s="257">
        <v>5131.0846252491792</v>
      </c>
      <c r="AJ37" s="257">
        <v>0</v>
      </c>
      <c r="AK37" s="257">
        <v>9353.9382286025811</v>
      </c>
      <c r="AL37" s="257">
        <v>0</v>
      </c>
      <c r="AM37" s="257">
        <v>5050.9986447444198</v>
      </c>
      <c r="AN37" s="462">
        <f t="shared" si="90"/>
        <v>52756.07149859616</v>
      </c>
      <c r="AO37" s="463">
        <f t="shared" si="91"/>
        <v>75813.546006721182</v>
      </c>
      <c r="AP37" s="343">
        <v>15</v>
      </c>
      <c r="AQ37" s="257">
        <v>49177.469999999914</v>
      </c>
      <c r="AR37" s="257">
        <v>77147.329999999944</v>
      </c>
      <c r="AS37" s="257">
        <v>70099.890385781458</v>
      </c>
      <c r="AT37" s="257">
        <v>83111.177271307504</v>
      </c>
      <c r="AU37" s="257">
        <v>80888.810311954192</v>
      </c>
      <c r="AV37" s="257">
        <v>58571.878174894053</v>
      </c>
      <c r="AW37" s="257">
        <v>111539.682358231</v>
      </c>
      <c r="AX37" s="257">
        <v>83654.550626521595</v>
      </c>
      <c r="AY37" s="460">
        <f t="shared" si="92"/>
        <v>614190.78912868968</v>
      </c>
      <c r="AZ37" s="465">
        <v>0</v>
      </c>
      <c r="BA37" s="257">
        <v>358689.69999999978</v>
      </c>
      <c r="BB37" s="257">
        <v>0</v>
      </c>
      <c r="BC37" s="257">
        <v>360457.26656229142</v>
      </c>
      <c r="BD37" s="257">
        <v>0</v>
      </c>
      <c r="BE37" s="257">
        <v>304743.25776313321</v>
      </c>
      <c r="BF37" s="257">
        <v>0</v>
      </c>
      <c r="BG37" s="257">
        <v>451581.50978183665</v>
      </c>
      <c r="BH37" s="462">
        <f t="shared" si="93"/>
        <v>1475471.7341072611</v>
      </c>
      <c r="BI37" s="463">
        <f t="shared" si="94"/>
        <v>2089662.5232359506</v>
      </c>
      <c r="BJ37" s="343">
        <v>15</v>
      </c>
      <c r="BK37" s="257">
        <v>3449.8499999999958</v>
      </c>
      <c r="BL37" s="257">
        <v>1775.3699999999983</v>
      </c>
      <c r="BM37" s="257">
        <v>0</v>
      </c>
      <c r="BN37" s="257">
        <v>4254.983732114335</v>
      </c>
      <c r="BO37" s="257">
        <v>2112.8416762194611</v>
      </c>
      <c r="BP37" s="257">
        <v>1824.4997753074128</v>
      </c>
      <c r="BQ37" s="257">
        <v>0</v>
      </c>
      <c r="BR37" s="257">
        <v>2249.6391901774914</v>
      </c>
      <c r="BS37" s="460">
        <f t="shared" si="95"/>
        <v>15667.184373818694</v>
      </c>
      <c r="BT37" s="465">
        <v>0</v>
      </c>
      <c r="BU37" s="257">
        <v>19905.34</v>
      </c>
      <c r="BV37" s="257">
        <v>0</v>
      </c>
      <c r="BW37" s="257">
        <v>17046.190783938488</v>
      </c>
      <c r="BX37" s="257">
        <v>0</v>
      </c>
      <c r="BY37" s="257">
        <v>20417.22425129218</v>
      </c>
      <c r="BZ37" s="257">
        <v>0</v>
      </c>
      <c r="CA37" s="257">
        <v>15939.480297105923</v>
      </c>
      <c r="CB37" s="462">
        <f t="shared" si="96"/>
        <v>73308.235332336597</v>
      </c>
      <c r="CC37" s="463">
        <f t="shared" si="97"/>
        <v>88975.419706155284</v>
      </c>
      <c r="CD37" s="343">
        <v>15</v>
      </c>
      <c r="CE37" s="462">
        <f t="shared" si="98"/>
        <v>163820.15999999983</v>
      </c>
      <c r="CF37" s="462">
        <f t="shared" si="99"/>
        <v>230866.1659397427</v>
      </c>
      <c r="CG37" s="462">
        <f t="shared" si="100"/>
        <v>208965.66642286043</v>
      </c>
      <c r="CH37" s="462">
        <f t="shared" si="101"/>
        <v>231099.98141168448</v>
      </c>
      <c r="CI37" s="464">
        <f t="shared" si="102"/>
        <v>834751.9737742875</v>
      </c>
      <c r="CJ37" s="462">
        <f t="shared" si="103"/>
        <v>472188.9699999998</v>
      </c>
      <c r="CK37" s="462">
        <f t="shared" si="104"/>
        <v>570540.16034424037</v>
      </c>
      <c r="CL37" s="462">
        <f t="shared" si="105"/>
        <v>518338.84997751249</v>
      </c>
      <c r="CM37" s="462">
        <f t="shared" si="106"/>
        <v>651967.05475115369</v>
      </c>
      <c r="CN37" s="464">
        <f t="shared" si="107"/>
        <v>2213035.0350729064</v>
      </c>
      <c r="CO37" s="462">
        <f t="shared" si="108"/>
        <v>636009.12999999954</v>
      </c>
      <c r="CP37" s="462">
        <f t="shared" si="109"/>
        <v>801406.32628398307</v>
      </c>
      <c r="CQ37" s="462">
        <f t="shared" si="110"/>
        <v>727304.51640037284</v>
      </c>
      <c r="CR37" s="462">
        <f t="shared" si="111"/>
        <v>883067.03616283822</v>
      </c>
      <c r="CS37" s="464">
        <f t="shared" si="112"/>
        <v>3047787.0088471933</v>
      </c>
      <c r="CT37" s="362"/>
    </row>
    <row r="38" spans="1:102" ht="15.75" customHeight="1" x14ac:dyDescent="0.25">
      <c r="A38" s="94" t="s">
        <v>284</v>
      </c>
      <c r="B38" s="343">
        <v>16</v>
      </c>
      <c r="C38" s="257">
        <v>0</v>
      </c>
      <c r="D38" s="257">
        <v>833.02999999999906</v>
      </c>
      <c r="E38" s="257">
        <v>0</v>
      </c>
      <c r="F38" s="257">
        <v>2580.6091195108997</v>
      </c>
      <c r="G38" s="257">
        <v>1368.7903962969465</v>
      </c>
      <c r="H38" s="257">
        <v>2138.5065587350914</v>
      </c>
      <c r="I38" s="257">
        <v>2116.2777854725596</v>
      </c>
      <c r="J38" s="257">
        <v>4755.2731575860016</v>
      </c>
      <c r="K38" s="460">
        <f t="shared" si="86"/>
        <v>13792.487017601497</v>
      </c>
      <c r="L38" s="465">
        <v>0</v>
      </c>
      <c r="M38" s="257">
        <v>1140.8899999999999</v>
      </c>
      <c r="N38" s="257">
        <v>0</v>
      </c>
      <c r="O38" s="257">
        <v>10138.994962450182</v>
      </c>
      <c r="P38" s="257">
        <v>0</v>
      </c>
      <c r="Q38" s="257">
        <v>11895.411221614944</v>
      </c>
      <c r="R38" s="257">
        <v>0</v>
      </c>
      <c r="S38" s="257">
        <v>6517.6437214335328</v>
      </c>
      <c r="T38" s="462">
        <f t="shared" si="87"/>
        <v>29692.939905498657</v>
      </c>
      <c r="U38" s="463">
        <f t="shared" si="88"/>
        <v>43485.426923100153</v>
      </c>
      <c r="V38" s="343">
        <v>16</v>
      </c>
      <c r="W38" s="257">
        <v>1882.9499999999978</v>
      </c>
      <c r="X38" s="257">
        <v>2930.1399999999976</v>
      </c>
      <c r="Y38" s="257">
        <v>438.74575471815029</v>
      </c>
      <c r="Z38" s="257">
        <v>848.65850257848365</v>
      </c>
      <c r="AA38" s="257">
        <v>543.16824904227167</v>
      </c>
      <c r="AB38" s="257">
        <v>559.1199298254943</v>
      </c>
      <c r="AC38" s="257">
        <v>220.54300453880165</v>
      </c>
      <c r="AD38" s="257">
        <v>1082.2643971534608</v>
      </c>
      <c r="AE38" s="460">
        <f t="shared" si="89"/>
        <v>8505.5898378566581</v>
      </c>
      <c r="AF38" s="465">
        <v>0</v>
      </c>
      <c r="AG38" s="257">
        <v>5872.9499999999971</v>
      </c>
      <c r="AH38" s="257">
        <v>0</v>
      </c>
      <c r="AI38" s="257">
        <v>2354.1798371099121</v>
      </c>
      <c r="AJ38" s="257">
        <v>0</v>
      </c>
      <c r="AK38" s="257">
        <v>2214.456686941121</v>
      </c>
      <c r="AL38" s="257">
        <v>0</v>
      </c>
      <c r="AM38" s="257">
        <v>4428.9821006120028</v>
      </c>
      <c r="AN38" s="462">
        <f t="shared" si="90"/>
        <v>14870.568624663032</v>
      </c>
      <c r="AO38" s="463">
        <f t="shared" si="91"/>
        <v>23376.158462519692</v>
      </c>
      <c r="AP38" s="343">
        <v>16</v>
      </c>
      <c r="AQ38" s="257">
        <v>0</v>
      </c>
      <c r="AR38" s="257">
        <v>8836.7699999999895</v>
      </c>
      <c r="AS38" s="257">
        <v>0</v>
      </c>
      <c r="AT38" s="257">
        <v>11229.921115321249</v>
      </c>
      <c r="AU38" s="257">
        <v>0</v>
      </c>
      <c r="AV38" s="257">
        <v>9469.2201239438964</v>
      </c>
      <c r="AW38" s="257">
        <v>2646.4657825247632</v>
      </c>
      <c r="AX38" s="257">
        <v>9357.1867323942333</v>
      </c>
      <c r="AY38" s="460">
        <f t="shared" si="92"/>
        <v>41539.563754184135</v>
      </c>
      <c r="AZ38" s="465">
        <v>0</v>
      </c>
      <c r="BA38" s="257">
        <v>36328.139999999992</v>
      </c>
      <c r="BB38" s="257">
        <v>0</v>
      </c>
      <c r="BC38" s="257">
        <v>43233.964978180091</v>
      </c>
      <c r="BD38" s="257">
        <v>0</v>
      </c>
      <c r="BE38" s="257">
        <v>39070.634769537581</v>
      </c>
      <c r="BF38" s="257">
        <v>0</v>
      </c>
      <c r="BG38" s="257">
        <v>54525.050642794711</v>
      </c>
      <c r="BH38" s="462">
        <f t="shared" si="93"/>
        <v>173157.79039051238</v>
      </c>
      <c r="BI38" s="463">
        <f t="shared" si="94"/>
        <v>214697.35414469652</v>
      </c>
      <c r="BJ38" s="343">
        <v>16</v>
      </c>
      <c r="BK38" s="257">
        <v>0</v>
      </c>
      <c r="BL38" s="257">
        <v>1057.1899999999989</v>
      </c>
      <c r="BM38" s="257">
        <v>0</v>
      </c>
      <c r="BN38" s="257">
        <v>1120.2068210673647</v>
      </c>
      <c r="BO38" s="257">
        <v>0</v>
      </c>
      <c r="BP38" s="257">
        <v>497.64637783038881</v>
      </c>
      <c r="BQ38" s="257">
        <v>0</v>
      </c>
      <c r="BR38" s="257">
        <v>597.0496783917539</v>
      </c>
      <c r="BS38" s="460">
        <f t="shared" si="95"/>
        <v>3272.0928772895063</v>
      </c>
      <c r="BT38" s="465">
        <v>0</v>
      </c>
      <c r="BU38" s="257">
        <v>2117.8199999999993</v>
      </c>
      <c r="BV38" s="257">
        <v>0</v>
      </c>
      <c r="BW38" s="257">
        <v>2972.2526050007264</v>
      </c>
      <c r="BX38" s="257">
        <v>0</v>
      </c>
      <c r="BY38" s="257">
        <v>1863.8384739873052</v>
      </c>
      <c r="BZ38" s="257">
        <v>0</v>
      </c>
      <c r="CA38" s="257">
        <v>2251.404781623186</v>
      </c>
      <c r="CB38" s="462">
        <f t="shared" si="96"/>
        <v>9205.3158606112156</v>
      </c>
      <c r="CC38" s="463">
        <f t="shared" si="97"/>
        <v>12477.408737900721</v>
      </c>
      <c r="CD38" s="343">
        <v>16</v>
      </c>
      <c r="CE38" s="462">
        <f t="shared" si="98"/>
        <v>15540.079999999984</v>
      </c>
      <c r="CF38" s="462">
        <f t="shared" si="99"/>
        <v>16218.141313196147</v>
      </c>
      <c r="CG38" s="462">
        <f t="shared" si="100"/>
        <v>14576.45163567409</v>
      </c>
      <c r="CH38" s="462">
        <f t="shared" si="101"/>
        <v>20775.060538061574</v>
      </c>
      <c r="CI38" s="464">
        <f t="shared" si="102"/>
        <v>67109.7334869318</v>
      </c>
      <c r="CJ38" s="462">
        <f t="shared" si="103"/>
        <v>45459.799999999988</v>
      </c>
      <c r="CK38" s="462">
        <f t="shared" si="104"/>
        <v>58699.392382740916</v>
      </c>
      <c r="CL38" s="462">
        <f t="shared" si="105"/>
        <v>55044.341152080953</v>
      </c>
      <c r="CM38" s="462">
        <f t="shared" si="106"/>
        <v>67723.081246463436</v>
      </c>
      <c r="CN38" s="464">
        <f t="shared" si="107"/>
        <v>226926.61478128529</v>
      </c>
      <c r="CO38" s="462">
        <f t="shared" si="108"/>
        <v>60999.879999999976</v>
      </c>
      <c r="CP38" s="462">
        <f t="shared" si="109"/>
        <v>74917.533695937062</v>
      </c>
      <c r="CQ38" s="462">
        <f t="shared" si="110"/>
        <v>69620.792787755025</v>
      </c>
      <c r="CR38" s="462">
        <f t="shared" si="111"/>
        <v>88498.141784525011</v>
      </c>
      <c r="CS38" s="464">
        <f t="shared" si="112"/>
        <v>294036.34826821712</v>
      </c>
      <c r="CT38" s="362"/>
    </row>
    <row r="39" spans="1:102" ht="15.75" customHeight="1" x14ac:dyDescent="0.25">
      <c r="A39" s="94" t="s">
        <v>234</v>
      </c>
      <c r="B39" s="343">
        <v>17</v>
      </c>
      <c r="C39" s="257">
        <v>6692.0899999999929</v>
      </c>
      <c r="D39" s="257">
        <v>22478.189999999984</v>
      </c>
      <c r="E39" s="257">
        <v>24580.903426075449</v>
      </c>
      <c r="F39" s="257">
        <v>33545.778330447967</v>
      </c>
      <c r="G39" s="257">
        <v>20505.019469564653</v>
      </c>
      <c r="H39" s="257">
        <v>34983.487931061805</v>
      </c>
      <c r="I39" s="257">
        <v>14537.79067279332</v>
      </c>
      <c r="J39" s="257">
        <v>25780.396383857496</v>
      </c>
      <c r="K39" s="460">
        <f t="shared" si="86"/>
        <v>183103.65621380066</v>
      </c>
      <c r="L39" s="465">
        <v>0</v>
      </c>
      <c r="M39" s="257">
        <v>47281.280000000042</v>
      </c>
      <c r="N39" s="257">
        <v>0</v>
      </c>
      <c r="O39" s="257">
        <v>108452.9994436049</v>
      </c>
      <c r="P39" s="257">
        <v>0</v>
      </c>
      <c r="Q39" s="257">
        <v>127895.91480939665</v>
      </c>
      <c r="R39" s="257">
        <v>0</v>
      </c>
      <c r="S39" s="257">
        <v>93430.297935977796</v>
      </c>
      <c r="T39" s="462">
        <f t="shared" si="87"/>
        <v>377060.49218897941</v>
      </c>
      <c r="U39" s="463">
        <f t="shared" si="88"/>
        <v>560164.14840278006</v>
      </c>
      <c r="V39" s="343">
        <v>17</v>
      </c>
      <c r="W39" s="257">
        <v>1329.8099999999988</v>
      </c>
      <c r="X39" s="257">
        <v>6506.5599999999968</v>
      </c>
      <c r="Y39" s="257">
        <v>786.25199449912964</v>
      </c>
      <c r="Z39" s="257">
        <v>3396.564211605491</v>
      </c>
      <c r="AA39" s="257">
        <v>3037.7587805654321</v>
      </c>
      <c r="AB39" s="257">
        <v>3056.8046668489765</v>
      </c>
      <c r="AC39" s="257">
        <v>584.93414064526405</v>
      </c>
      <c r="AD39" s="257">
        <v>2250.1016920333741</v>
      </c>
      <c r="AE39" s="460">
        <f t="shared" si="89"/>
        <v>20948.785486197663</v>
      </c>
      <c r="AF39" s="465">
        <v>0</v>
      </c>
      <c r="AG39" s="257">
        <v>19762.049999999996</v>
      </c>
      <c r="AH39" s="257">
        <v>0</v>
      </c>
      <c r="AI39" s="257">
        <v>9764.5691412671695</v>
      </c>
      <c r="AJ39" s="257">
        <v>0</v>
      </c>
      <c r="AK39" s="257">
        <v>9665.8585423838667</v>
      </c>
      <c r="AL39" s="257">
        <v>0</v>
      </c>
      <c r="AM39" s="257">
        <v>8832.094332145165</v>
      </c>
      <c r="AN39" s="462">
        <f t="shared" si="90"/>
        <v>48024.572015796191</v>
      </c>
      <c r="AO39" s="463">
        <f t="shared" si="91"/>
        <v>68973.357501993858</v>
      </c>
      <c r="AP39" s="343">
        <v>17</v>
      </c>
      <c r="AQ39" s="257">
        <v>52094.809999999932</v>
      </c>
      <c r="AR39" s="257">
        <v>93438.099999999875</v>
      </c>
      <c r="AS39" s="257">
        <v>41033.959237392715</v>
      </c>
      <c r="AT39" s="257">
        <v>71455.111715399573</v>
      </c>
      <c r="AU39" s="257">
        <v>64531.618376818689</v>
      </c>
      <c r="AV39" s="257">
        <v>68905.953770203487</v>
      </c>
      <c r="AW39" s="257">
        <v>77879.390495997272</v>
      </c>
      <c r="AX39" s="257">
        <v>73414.669047787218</v>
      </c>
      <c r="AY39" s="460">
        <f t="shared" si="92"/>
        <v>542753.6126435987</v>
      </c>
      <c r="AZ39" s="465">
        <v>0</v>
      </c>
      <c r="BA39" s="257">
        <v>271755.34000000014</v>
      </c>
      <c r="BB39" s="257">
        <v>0</v>
      </c>
      <c r="BC39" s="257">
        <v>258853.68809539848</v>
      </c>
      <c r="BD39" s="257">
        <v>0</v>
      </c>
      <c r="BE39" s="257">
        <v>294995.66019007057</v>
      </c>
      <c r="BF39" s="257">
        <v>0</v>
      </c>
      <c r="BG39" s="257">
        <v>341979.45744158549</v>
      </c>
      <c r="BH39" s="462">
        <f t="shared" si="93"/>
        <v>1167584.1457270547</v>
      </c>
      <c r="BI39" s="463">
        <f t="shared" si="94"/>
        <v>1710337.7583706533</v>
      </c>
      <c r="BJ39" s="343">
        <v>17</v>
      </c>
      <c r="BK39" s="257">
        <v>1146.6299999999987</v>
      </c>
      <c r="BL39" s="257">
        <v>6820.1599999999944</v>
      </c>
      <c r="BM39" s="257">
        <v>386.93035113495586</v>
      </c>
      <c r="BN39" s="257">
        <v>3730.8290705055306</v>
      </c>
      <c r="BO39" s="257">
        <v>1013.8279478326201</v>
      </c>
      <c r="BP39" s="257">
        <v>3977.195619459847</v>
      </c>
      <c r="BQ39" s="257">
        <v>196.81464845438992</v>
      </c>
      <c r="BR39" s="257">
        <v>4139.9948734395703</v>
      </c>
      <c r="BS39" s="460">
        <f t="shared" si="95"/>
        <v>21412.382510826908</v>
      </c>
      <c r="BT39" s="465">
        <v>0</v>
      </c>
      <c r="BU39" s="257">
        <v>16160.889999999996</v>
      </c>
      <c r="BV39" s="257">
        <v>0</v>
      </c>
      <c r="BW39" s="257">
        <v>15461.695153590708</v>
      </c>
      <c r="BX39" s="257">
        <v>0</v>
      </c>
      <c r="BY39" s="257">
        <v>16297.121717696284</v>
      </c>
      <c r="BZ39" s="257">
        <v>0</v>
      </c>
      <c r="CA39" s="257">
        <v>21675.712772293169</v>
      </c>
      <c r="CB39" s="462">
        <f t="shared" si="96"/>
        <v>69595.419643580157</v>
      </c>
      <c r="CC39" s="463">
        <f t="shared" si="97"/>
        <v>91007.802154407065</v>
      </c>
      <c r="CD39" s="343">
        <v>17</v>
      </c>
      <c r="CE39" s="462">
        <f t="shared" si="98"/>
        <v>190506.34999999977</v>
      </c>
      <c r="CF39" s="462">
        <f t="shared" si="99"/>
        <v>178916.32833706081</v>
      </c>
      <c r="CG39" s="462">
        <f t="shared" si="100"/>
        <v>200011.6665623555</v>
      </c>
      <c r="CH39" s="462">
        <f t="shared" si="101"/>
        <v>198784.09195500793</v>
      </c>
      <c r="CI39" s="464">
        <f t="shared" si="102"/>
        <v>768218.43685442396</v>
      </c>
      <c r="CJ39" s="462">
        <f t="shared" si="103"/>
        <v>354959.56000000017</v>
      </c>
      <c r="CK39" s="462">
        <f t="shared" si="104"/>
        <v>392532.95183386124</v>
      </c>
      <c r="CL39" s="462">
        <f t="shared" si="105"/>
        <v>448854.55525954743</v>
      </c>
      <c r="CM39" s="462">
        <f t="shared" si="106"/>
        <v>465917.56248200167</v>
      </c>
      <c r="CN39" s="464">
        <f t="shared" si="107"/>
        <v>1662264.6295754106</v>
      </c>
      <c r="CO39" s="462">
        <f t="shared" si="108"/>
        <v>545465.91</v>
      </c>
      <c r="CP39" s="462">
        <f t="shared" si="109"/>
        <v>571449.28017092217</v>
      </c>
      <c r="CQ39" s="462">
        <f t="shared" si="110"/>
        <v>648866.2218219029</v>
      </c>
      <c r="CR39" s="462">
        <f t="shared" si="111"/>
        <v>664701.65443700959</v>
      </c>
      <c r="CS39" s="464">
        <f t="shared" si="112"/>
        <v>2430483.0664298343</v>
      </c>
      <c r="CT39" s="362"/>
    </row>
    <row r="40" spans="1:102" ht="15.75" customHeight="1" x14ac:dyDescent="0.25">
      <c r="A40" s="94" t="s">
        <v>236</v>
      </c>
      <c r="B40" s="343">
        <v>18</v>
      </c>
      <c r="C40" s="257">
        <v>299.99999999999972</v>
      </c>
      <c r="D40" s="257">
        <v>2861.1999999999975</v>
      </c>
      <c r="E40" s="257">
        <v>1627.3897127706139</v>
      </c>
      <c r="F40" s="257">
        <v>5118.9138272949294</v>
      </c>
      <c r="G40" s="257">
        <v>0</v>
      </c>
      <c r="H40" s="257">
        <v>5551.7056202831718</v>
      </c>
      <c r="I40" s="257">
        <v>637.80011365027974</v>
      </c>
      <c r="J40" s="257">
        <v>4574.3947143832193</v>
      </c>
      <c r="K40" s="460">
        <f t="shared" si="86"/>
        <v>20671.403988382212</v>
      </c>
      <c r="L40" s="465">
        <v>0</v>
      </c>
      <c r="M40" s="257">
        <v>0</v>
      </c>
      <c r="N40" s="257">
        <v>0</v>
      </c>
      <c r="O40" s="257">
        <v>0</v>
      </c>
      <c r="P40" s="257">
        <v>0</v>
      </c>
      <c r="Q40" s="257">
        <v>0</v>
      </c>
      <c r="R40" s="257">
        <v>0</v>
      </c>
      <c r="S40" s="257">
        <v>0</v>
      </c>
      <c r="T40" s="462">
        <f t="shared" si="87"/>
        <v>0</v>
      </c>
      <c r="U40" s="463">
        <f t="shared" si="88"/>
        <v>20671.403988382212</v>
      </c>
      <c r="V40" s="343">
        <v>18</v>
      </c>
      <c r="W40" s="257">
        <v>0</v>
      </c>
      <c r="X40" s="257">
        <v>469.07999999999953</v>
      </c>
      <c r="Y40" s="257">
        <v>180.01877330582869</v>
      </c>
      <c r="Z40" s="257">
        <v>773.90070644175751</v>
      </c>
      <c r="AA40" s="257">
        <v>180.24498060138436</v>
      </c>
      <c r="AB40" s="257">
        <v>1299.2859290550457</v>
      </c>
      <c r="AC40" s="257">
        <v>0</v>
      </c>
      <c r="AD40" s="257">
        <v>286.5500628837861</v>
      </c>
      <c r="AE40" s="460">
        <f t="shared" si="89"/>
        <v>3189.080452287802</v>
      </c>
      <c r="AF40" s="465">
        <v>0</v>
      </c>
      <c r="AG40" s="257">
        <v>0</v>
      </c>
      <c r="AH40" s="257">
        <v>0</v>
      </c>
      <c r="AI40" s="257">
        <v>0</v>
      </c>
      <c r="AJ40" s="257">
        <v>0</v>
      </c>
      <c r="AK40" s="257">
        <v>0</v>
      </c>
      <c r="AL40" s="257">
        <v>0</v>
      </c>
      <c r="AM40" s="257">
        <v>0</v>
      </c>
      <c r="AN40" s="462">
        <f t="shared" si="90"/>
        <v>0</v>
      </c>
      <c r="AO40" s="463">
        <f t="shared" si="91"/>
        <v>3189.080452287802</v>
      </c>
      <c r="AP40" s="343">
        <v>18</v>
      </c>
      <c r="AQ40" s="257">
        <v>1318.8699999999988</v>
      </c>
      <c r="AR40" s="257">
        <v>8463.4299999999894</v>
      </c>
      <c r="AS40" s="257">
        <v>2611.302320359544</v>
      </c>
      <c r="AT40" s="257">
        <v>9711.6027770880391</v>
      </c>
      <c r="AU40" s="257">
        <v>1688.6251007640694</v>
      </c>
      <c r="AV40" s="257">
        <v>7477.152598337394</v>
      </c>
      <c r="AW40" s="257">
        <v>4742.7554443126583</v>
      </c>
      <c r="AX40" s="257">
        <v>9495.4948960794736</v>
      </c>
      <c r="AY40" s="460">
        <f t="shared" si="92"/>
        <v>45509.233136941162</v>
      </c>
      <c r="AZ40" s="465">
        <v>0</v>
      </c>
      <c r="BA40" s="257">
        <v>0</v>
      </c>
      <c r="BB40" s="257">
        <v>0</v>
      </c>
      <c r="BC40" s="257">
        <v>0</v>
      </c>
      <c r="BD40" s="257">
        <v>0</v>
      </c>
      <c r="BE40" s="257">
        <v>0</v>
      </c>
      <c r="BF40" s="257">
        <v>0</v>
      </c>
      <c r="BG40" s="257">
        <v>0</v>
      </c>
      <c r="BH40" s="462">
        <f t="shared" si="93"/>
        <v>0</v>
      </c>
      <c r="BI40" s="463">
        <f t="shared" si="94"/>
        <v>45509.233136941162</v>
      </c>
      <c r="BJ40" s="343">
        <v>18</v>
      </c>
      <c r="BK40" s="257">
        <v>0</v>
      </c>
      <c r="BL40" s="257">
        <v>516.95999999999947</v>
      </c>
      <c r="BM40" s="257">
        <v>0</v>
      </c>
      <c r="BN40" s="257">
        <v>348.19631174531838</v>
      </c>
      <c r="BO40" s="257">
        <v>0</v>
      </c>
      <c r="BP40" s="257">
        <v>208.44330645546759</v>
      </c>
      <c r="BQ40" s="257">
        <v>0</v>
      </c>
      <c r="BR40" s="257">
        <v>209.29214417504883</v>
      </c>
      <c r="BS40" s="460">
        <f t="shared" si="95"/>
        <v>1282.8917623758343</v>
      </c>
      <c r="BT40" s="465">
        <v>0</v>
      </c>
      <c r="BU40" s="257">
        <v>0</v>
      </c>
      <c r="BV40" s="257">
        <v>0</v>
      </c>
      <c r="BW40" s="257">
        <v>0</v>
      </c>
      <c r="BX40" s="257">
        <v>0</v>
      </c>
      <c r="BY40" s="257">
        <v>0</v>
      </c>
      <c r="BZ40" s="257">
        <v>0</v>
      </c>
      <c r="CA40" s="257">
        <v>0</v>
      </c>
      <c r="CB40" s="462">
        <f t="shared" si="96"/>
        <v>0</v>
      </c>
      <c r="CC40" s="463">
        <f t="shared" si="97"/>
        <v>1282.8917623758343</v>
      </c>
      <c r="CD40" s="343">
        <v>18</v>
      </c>
      <c r="CE40" s="462">
        <f t="shared" si="98"/>
        <v>13929.539999999983</v>
      </c>
      <c r="CF40" s="462">
        <f t="shared" si="99"/>
        <v>20371.324429006032</v>
      </c>
      <c r="CG40" s="462">
        <f t="shared" si="100"/>
        <v>16405.457535496535</v>
      </c>
      <c r="CH40" s="462">
        <f t="shared" si="101"/>
        <v>19946.287375484466</v>
      </c>
      <c r="CI40" s="464">
        <f t="shared" si="102"/>
        <v>70652.609339987015</v>
      </c>
      <c r="CJ40" s="462">
        <f t="shared" si="103"/>
        <v>0</v>
      </c>
      <c r="CK40" s="462">
        <f t="shared" si="104"/>
        <v>0</v>
      </c>
      <c r="CL40" s="462">
        <f t="shared" si="105"/>
        <v>0</v>
      </c>
      <c r="CM40" s="462">
        <f t="shared" si="106"/>
        <v>0</v>
      </c>
      <c r="CN40" s="464">
        <f t="shared" si="107"/>
        <v>0</v>
      </c>
      <c r="CO40" s="462">
        <f t="shared" si="108"/>
        <v>13929.539999999983</v>
      </c>
      <c r="CP40" s="462">
        <f t="shared" si="109"/>
        <v>20371.324429006032</v>
      </c>
      <c r="CQ40" s="462">
        <f t="shared" si="110"/>
        <v>16405.457535496535</v>
      </c>
      <c r="CR40" s="462">
        <f t="shared" si="111"/>
        <v>19946.287375484466</v>
      </c>
      <c r="CS40" s="464">
        <f t="shared" si="112"/>
        <v>70652.609339987015</v>
      </c>
      <c r="CT40" s="362"/>
    </row>
    <row r="41" spans="1:102" ht="15.75" customHeight="1" x14ac:dyDescent="0.25">
      <c r="A41" s="94" t="s">
        <v>201</v>
      </c>
      <c r="B41" s="343">
        <v>19</v>
      </c>
      <c r="C41" s="257">
        <v>143</v>
      </c>
      <c r="D41" s="257">
        <v>13628.54</v>
      </c>
      <c r="E41" s="257">
        <v>3649</v>
      </c>
      <c r="F41" s="257">
        <v>23497.688387495858</v>
      </c>
      <c r="G41" s="257">
        <v>10378</v>
      </c>
      <c r="H41" s="257">
        <v>37586</v>
      </c>
      <c r="I41" s="257">
        <v>5432</v>
      </c>
      <c r="J41" s="257">
        <v>36390</v>
      </c>
      <c r="K41" s="460">
        <f t="shared" si="86"/>
        <v>130704.22838749585</v>
      </c>
      <c r="L41" s="465">
        <v>0</v>
      </c>
      <c r="M41" s="257">
        <v>1648.3500000000001</v>
      </c>
      <c r="N41" s="257">
        <v>0</v>
      </c>
      <c r="O41" s="257">
        <v>468.74270494759747</v>
      </c>
      <c r="P41" s="257">
        <v>0</v>
      </c>
      <c r="Q41" s="257">
        <v>0</v>
      </c>
      <c r="R41" s="257">
        <v>0</v>
      </c>
      <c r="S41" s="257">
        <v>0</v>
      </c>
      <c r="T41" s="462">
        <f t="shared" si="87"/>
        <v>2117.0927049475977</v>
      </c>
      <c r="U41" s="463">
        <f t="shared" si="88"/>
        <v>132821.32109244345</v>
      </c>
      <c r="V41" s="343">
        <v>19</v>
      </c>
      <c r="W41" s="257">
        <v>0</v>
      </c>
      <c r="X41" s="257">
        <v>7770</v>
      </c>
      <c r="Y41" s="257">
        <v>0</v>
      </c>
      <c r="Z41" s="257">
        <v>2117</v>
      </c>
      <c r="AA41" s="257">
        <v>0</v>
      </c>
      <c r="AB41" s="257">
        <v>5460</v>
      </c>
      <c r="AC41" s="257">
        <v>0</v>
      </c>
      <c r="AD41" s="257">
        <v>5507</v>
      </c>
      <c r="AE41" s="460">
        <f t="shared" si="89"/>
        <v>20854</v>
      </c>
      <c r="AF41" s="465">
        <v>0</v>
      </c>
      <c r="AG41" s="257">
        <v>0</v>
      </c>
      <c r="AH41" s="257">
        <v>0</v>
      </c>
      <c r="AI41" s="257">
        <v>0</v>
      </c>
      <c r="AJ41" s="257">
        <v>0</v>
      </c>
      <c r="AK41" s="257">
        <v>0</v>
      </c>
      <c r="AL41" s="257">
        <v>0</v>
      </c>
      <c r="AM41" s="257">
        <v>0</v>
      </c>
      <c r="AN41" s="462">
        <f t="shared" si="90"/>
        <v>0</v>
      </c>
      <c r="AO41" s="463">
        <f t="shared" si="91"/>
        <v>20854</v>
      </c>
      <c r="AP41" s="343">
        <v>19</v>
      </c>
      <c r="AQ41" s="257">
        <v>29284</v>
      </c>
      <c r="AR41" s="257">
        <v>58093.95</v>
      </c>
      <c r="AS41" s="257">
        <v>53839</v>
      </c>
      <c r="AT41" s="257">
        <v>52335</v>
      </c>
      <c r="AU41" s="257">
        <v>39363</v>
      </c>
      <c r="AV41" s="257">
        <v>99049.454423149058</v>
      </c>
      <c r="AW41" s="257">
        <v>29431</v>
      </c>
      <c r="AX41" s="257">
        <v>94652</v>
      </c>
      <c r="AY41" s="460">
        <f t="shared" si="92"/>
        <v>456047.40442314907</v>
      </c>
      <c r="AZ41" s="465">
        <v>0</v>
      </c>
      <c r="BA41" s="257">
        <v>39</v>
      </c>
      <c r="BB41" s="257">
        <v>0</v>
      </c>
      <c r="BC41" s="257">
        <v>0</v>
      </c>
      <c r="BD41" s="257">
        <v>0</v>
      </c>
      <c r="BE41" s="257">
        <v>128.34101086379843</v>
      </c>
      <c r="BF41" s="257">
        <v>0</v>
      </c>
      <c r="BG41" s="257">
        <v>0</v>
      </c>
      <c r="BH41" s="462">
        <f t="shared" si="93"/>
        <v>167.34101086379843</v>
      </c>
      <c r="BI41" s="463">
        <f t="shared" si="94"/>
        <v>456214.74543401285</v>
      </c>
      <c r="BJ41" s="343">
        <v>19</v>
      </c>
      <c r="BK41" s="257">
        <v>0</v>
      </c>
      <c r="BL41" s="257">
        <v>420.8</v>
      </c>
      <c r="BM41" s="257">
        <v>0</v>
      </c>
      <c r="BN41" s="257">
        <v>875</v>
      </c>
      <c r="BO41" s="257">
        <v>0</v>
      </c>
      <c r="BP41" s="257">
        <v>194</v>
      </c>
      <c r="BQ41" s="257">
        <v>0</v>
      </c>
      <c r="BR41" s="257">
        <v>1511</v>
      </c>
      <c r="BS41" s="460">
        <f t="shared" si="95"/>
        <v>3000.8</v>
      </c>
      <c r="BT41" s="465">
        <v>0</v>
      </c>
      <c r="BU41" s="257">
        <v>0</v>
      </c>
      <c r="BV41" s="257">
        <v>0</v>
      </c>
      <c r="BW41" s="257">
        <v>0</v>
      </c>
      <c r="BX41" s="257">
        <v>0</v>
      </c>
      <c r="BY41" s="257">
        <v>0</v>
      </c>
      <c r="BZ41" s="257">
        <v>0</v>
      </c>
      <c r="CA41" s="257">
        <v>0</v>
      </c>
      <c r="CB41" s="462">
        <f t="shared" si="96"/>
        <v>0</v>
      </c>
      <c r="CC41" s="463">
        <f t="shared" si="97"/>
        <v>3000.8</v>
      </c>
      <c r="CD41" s="343">
        <v>19</v>
      </c>
      <c r="CE41" s="462">
        <f t="shared" si="98"/>
        <v>109340.29</v>
      </c>
      <c r="CF41" s="462">
        <f t="shared" si="99"/>
        <v>136312.68838749587</v>
      </c>
      <c r="CG41" s="462">
        <f t="shared" si="100"/>
        <v>192030.45442314906</v>
      </c>
      <c r="CH41" s="462">
        <f t="shared" si="101"/>
        <v>172923</v>
      </c>
      <c r="CI41" s="464">
        <f t="shared" si="102"/>
        <v>610606.43281064497</v>
      </c>
      <c r="CJ41" s="462">
        <f t="shared" si="103"/>
        <v>1687.3500000000001</v>
      </c>
      <c r="CK41" s="462">
        <f t="shared" si="104"/>
        <v>468.74270494759747</v>
      </c>
      <c r="CL41" s="462">
        <f t="shared" si="105"/>
        <v>128.34101086379843</v>
      </c>
      <c r="CM41" s="462">
        <f t="shared" si="106"/>
        <v>0</v>
      </c>
      <c r="CN41" s="464">
        <f t="shared" si="107"/>
        <v>2284.4337158113963</v>
      </c>
      <c r="CO41" s="462">
        <f t="shared" si="108"/>
        <v>111027.64</v>
      </c>
      <c r="CP41" s="462">
        <f t="shared" si="109"/>
        <v>136781.43109244347</v>
      </c>
      <c r="CQ41" s="462">
        <f t="shared" si="110"/>
        <v>192158.79543401286</v>
      </c>
      <c r="CR41" s="462">
        <f t="shared" si="111"/>
        <v>172923</v>
      </c>
      <c r="CS41" s="464">
        <f t="shared" si="112"/>
        <v>612890.86652645632</v>
      </c>
      <c r="CT41" s="362"/>
    </row>
    <row r="42" spans="1:102" ht="15.75" customHeight="1" x14ac:dyDescent="0.25">
      <c r="A42" s="94" t="s">
        <v>239</v>
      </c>
      <c r="B42" s="343">
        <v>20</v>
      </c>
      <c r="C42" s="257">
        <v>0</v>
      </c>
      <c r="D42" s="257">
        <v>1927.749999999998</v>
      </c>
      <c r="E42" s="257">
        <v>76.848014115665976</v>
      </c>
      <c r="F42" s="257">
        <v>670.33990657609888</v>
      </c>
      <c r="G42" s="257">
        <v>100.50660390533861</v>
      </c>
      <c r="H42" s="257">
        <v>1155.9711422568782</v>
      </c>
      <c r="I42" s="257">
        <v>0</v>
      </c>
      <c r="J42" s="257">
        <v>2972.7507874617672</v>
      </c>
      <c r="K42" s="460">
        <f t="shared" si="86"/>
        <v>6904.1664543157476</v>
      </c>
      <c r="L42" s="465">
        <v>0</v>
      </c>
      <c r="M42" s="257">
        <v>365.59999999999991</v>
      </c>
      <c r="N42" s="257">
        <v>0</v>
      </c>
      <c r="O42" s="257">
        <v>2241.4318372945695</v>
      </c>
      <c r="P42" s="257">
        <v>0</v>
      </c>
      <c r="Q42" s="257">
        <v>4624.1782788049122</v>
      </c>
      <c r="R42" s="257">
        <v>0</v>
      </c>
      <c r="S42" s="257">
        <v>4459.2796003051262</v>
      </c>
      <c r="T42" s="462">
        <f t="shared" si="87"/>
        <v>11690.489716404609</v>
      </c>
      <c r="U42" s="463">
        <f t="shared" si="88"/>
        <v>18594.656170720358</v>
      </c>
      <c r="V42" s="343">
        <v>20</v>
      </c>
      <c r="W42" s="257">
        <v>0</v>
      </c>
      <c r="X42" s="257">
        <v>53.319999999999943</v>
      </c>
      <c r="Y42" s="257">
        <v>0</v>
      </c>
      <c r="Z42" s="257">
        <v>0</v>
      </c>
      <c r="AA42" s="257">
        <v>0</v>
      </c>
      <c r="AB42" s="257">
        <v>0</v>
      </c>
      <c r="AC42" s="257">
        <v>0</v>
      </c>
      <c r="AD42" s="257">
        <v>0</v>
      </c>
      <c r="AE42" s="460">
        <f t="shared" si="89"/>
        <v>53.319999999999943</v>
      </c>
      <c r="AF42" s="465">
        <v>0</v>
      </c>
      <c r="AG42" s="257">
        <v>208.97000000000003</v>
      </c>
      <c r="AH42" s="257">
        <v>0</v>
      </c>
      <c r="AI42" s="257">
        <v>0</v>
      </c>
      <c r="AJ42" s="257">
        <v>0</v>
      </c>
      <c r="AK42" s="257">
        <v>0</v>
      </c>
      <c r="AL42" s="257">
        <v>0</v>
      </c>
      <c r="AM42" s="257">
        <v>0</v>
      </c>
      <c r="AN42" s="462">
        <f t="shared" si="90"/>
        <v>208.97000000000003</v>
      </c>
      <c r="AO42" s="463">
        <f t="shared" si="91"/>
        <v>262.28999999999996</v>
      </c>
      <c r="AP42" s="343">
        <v>20</v>
      </c>
      <c r="AQ42" s="257">
        <v>2057.8499999999976</v>
      </c>
      <c r="AR42" s="257">
        <v>5753.3499999999949</v>
      </c>
      <c r="AS42" s="257">
        <v>198.12066106602589</v>
      </c>
      <c r="AT42" s="257">
        <v>3721.3880859499354</v>
      </c>
      <c r="AU42" s="257">
        <v>1000.940431719621</v>
      </c>
      <c r="AV42" s="257">
        <v>2798.6437865776279</v>
      </c>
      <c r="AW42" s="257">
        <v>5251.0449839276371</v>
      </c>
      <c r="AX42" s="257">
        <v>5500.4843000709288</v>
      </c>
      <c r="AY42" s="460">
        <f t="shared" si="92"/>
        <v>26281.822249311768</v>
      </c>
      <c r="AZ42" s="465">
        <v>0</v>
      </c>
      <c r="BA42" s="257">
        <v>4440.2199999999984</v>
      </c>
      <c r="BB42" s="257">
        <v>0</v>
      </c>
      <c r="BC42" s="257">
        <v>7554.0959755583945</v>
      </c>
      <c r="BD42" s="257">
        <v>0</v>
      </c>
      <c r="BE42" s="257">
        <v>7816.1330658397337</v>
      </c>
      <c r="BF42" s="257">
        <v>0</v>
      </c>
      <c r="BG42" s="257">
        <v>5017.1106291089773</v>
      </c>
      <c r="BH42" s="462">
        <f t="shared" si="93"/>
        <v>24827.559670507104</v>
      </c>
      <c r="BI42" s="463">
        <f t="shared" si="94"/>
        <v>51109.381919818872</v>
      </c>
      <c r="BJ42" s="343">
        <v>20</v>
      </c>
      <c r="BK42" s="257">
        <v>0</v>
      </c>
      <c r="BL42" s="257">
        <v>0</v>
      </c>
      <c r="BM42" s="257">
        <v>0</v>
      </c>
      <c r="BN42" s="257">
        <v>0</v>
      </c>
      <c r="BO42" s="257">
        <v>0</v>
      </c>
      <c r="BP42" s="257">
        <v>0</v>
      </c>
      <c r="BQ42" s="257">
        <v>0</v>
      </c>
      <c r="BR42" s="257">
        <v>0</v>
      </c>
      <c r="BS42" s="460">
        <f t="shared" si="95"/>
        <v>0</v>
      </c>
      <c r="BT42" s="465">
        <v>0</v>
      </c>
      <c r="BU42" s="257">
        <v>0</v>
      </c>
      <c r="BV42" s="257">
        <v>0</v>
      </c>
      <c r="BW42" s="257">
        <v>0</v>
      </c>
      <c r="BX42" s="257">
        <v>0</v>
      </c>
      <c r="BY42" s="257">
        <v>0</v>
      </c>
      <c r="BZ42" s="257">
        <v>0</v>
      </c>
      <c r="CA42" s="257">
        <v>0</v>
      </c>
      <c r="CB42" s="462">
        <f t="shared" si="96"/>
        <v>0</v>
      </c>
      <c r="CC42" s="463">
        <f t="shared" si="97"/>
        <v>0</v>
      </c>
      <c r="CD42" s="343">
        <v>20</v>
      </c>
      <c r="CE42" s="462">
        <f t="shared" si="98"/>
        <v>9792.2699999999895</v>
      </c>
      <c r="CF42" s="462">
        <f t="shared" si="99"/>
        <v>4666.6966677077262</v>
      </c>
      <c r="CG42" s="462">
        <f t="shared" si="100"/>
        <v>5056.0619644594663</v>
      </c>
      <c r="CH42" s="462">
        <f t="shared" si="101"/>
        <v>13724.280071460333</v>
      </c>
      <c r="CI42" s="464">
        <f t="shared" si="102"/>
        <v>33239.308703627517</v>
      </c>
      <c r="CJ42" s="462">
        <f t="shared" si="103"/>
        <v>5014.7899999999981</v>
      </c>
      <c r="CK42" s="462">
        <f t="shared" si="104"/>
        <v>9795.5278128529644</v>
      </c>
      <c r="CL42" s="462">
        <f t="shared" si="105"/>
        <v>12440.311344644646</v>
      </c>
      <c r="CM42" s="462">
        <f t="shared" si="106"/>
        <v>9476.3902294141044</v>
      </c>
      <c r="CN42" s="464">
        <f t="shared" si="107"/>
        <v>36727.019386911714</v>
      </c>
      <c r="CO42" s="462">
        <f t="shared" si="108"/>
        <v>14807.059999999987</v>
      </c>
      <c r="CP42" s="462">
        <f t="shared" si="109"/>
        <v>14462.22448056069</v>
      </c>
      <c r="CQ42" s="462">
        <f t="shared" si="110"/>
        <v>17496.373309104114</v>
      </c>
      <c r="CR42" s="462">
        <f t="shared" si="111"/>
        <v>23200.670300874437</v>
      </c>
      <c r="CS42" s="464">
        <f t="shared" si="112"/>
        <v>69966.328090539231</v>
      </c>
      <c r="CT42" s="362"/>
    </row>
    <row r="43" spans="1:102" ht="15.75" customHeight="1" x14ac:dyDescent="0.25">
      <c r="A43" s="94" t="s">
        <v>1417</v>
      </c>
      <c r="B43" s="343">
        <v>21</v>
      </c>
      <c r="C43" s="257"/>
      <c r="D43" s="257"/>
      <c r="E43" s="257"/>
      <c r="F43" s="257"/>
      <c r="G43" s="257"/>
      <c r="H43" s="257"/>
      <c r="I43" s="257"/>
      <c r="J43" s="257"/>
      <c r="K43" s="460">
        <f t="shared" si="86"/>
        <v>0</v>
      </c>
      <c r="L43" s="465"/>
      <c r="M43" s="257">
        <f>M19</f>
        <v>42567</v>
      </c>
      <c r="N43" s="257">
        <f t="shared" ref="N43:S43" si="113">N19</f>
        <v>0</v>
      </c>
      <c r="O43" s="257">
        <f t="shared" si="113"/>
        <v>46965</v>
      </c>
      <c r="P43" s="257">
        <f t="shared" si="113"/>
        <v>0</v>
      </c>
      <c r="Q43" s="257">
        <f t="shared" si="113"/>
        <v>73667</v>
      </c>
      <c r="R43" s="257">
        <f t="shared" si="113"/>
        <v>0</v>
      </c>
      <c r="S43" s="257">
        <f t="shared" si="113"/>
        <v>95796</v>
      </c>
      <c r="T43" s="462">
        <f t="shared" si="87"/>
        <v>258995</v>
      </c>
      <c r="U43" s="463">
        <f t="shared" si="88"/>
        <v>258995</v>
      </c>
      <c r="V43" s="343">
        <v>21</v>
      </c>
      <c r="W43" s="257"/>
      <c r="X43" s="257"/>
      <c r="Y43" s="257"/>
      <c r="Z43" s="257"/>
      <c r="AA43" s="257"/>
      <c r="AB43" s="257"/>
      <c r="AC43" s="257"/>
      <c r="AD43" s="257"/>
      <c r="AE43" s="460">
        <f t="shared" si="89"/>
        <v>0</v>
      </c>
      <c r="AF43" s="465"/>
      <c r="AG43" s="257">
        <f>AG19</f>
        <v>23717</v>
      </c>
      <c r="AH43" s="257"/>
      <c r="AI43" s="257">
        <f>AI19</f>
        <v>18639</v>
      </c>
      <c r="AJ43" s="257"/>
      <c r="AK43" s="257">
        <f>AK19</f>
        <v>49062</v>
      </c>
      <c r="AL43" s="257"/>
      <c r="AM43" s="257">
        <f>AM19</f>
        <v>47176</v>
      </c>
      <c r="AN43" s="462">
        <f t="shared" si="90"/>
        <v>138594</v>
      </c>
      <c r="AO43" s="463">
        <f t="shared" si="91"/>
        <v>138594</v>
      </c>
      <c r="AP43" s="343">
        <v>21</v>
      </c>
      <c r="AQ43" s="257">
        <f t="shared" ref="AQ43:AX43" si="114">AQ19</f>
        <v>0</v>
      </c>
      <c r="AR43" s="257">
        <f t="shared" si="114"/>
        <v>0</v>
      </c>
      <c r="AS43" s="257">
        <f t="shared" si="114"/>
        <v>0</v>
      </c>
      <c r="AT43" s="257">
        <f t="shared" si="114"/>
        <v>0</v>
      </c>
      <c r="AU43" s="257">
        <f t="shared" si="114"/>
        <v>0</v>
      </c>
      <c r="AV43" s="257">
        <f t="shared" si="114"/>
        <v>0</v>
      </c>
      <c r="AW43" s="257">
        <f t="shared" si="114"/>
        <v>0</v>
      </c>
      <c r="AX43" s="257">
        <f t="shared" si="114"/>
        <v>0</v>
      </c>
      <c r="AY43" s="460">
        <f t="shared" si="92"/>
        <v>0</v>
      </c>
      <c r="AZ43" s="465">
        <f t="shared" ref="AZ43:BG43" si="115">AZ19</f>
        <v>0</v>
      </c>
      <c r="BA43" s="257">
        <f t="shared" si="115"/>
        <v>463629</v>
      </c>
      <c r="BB43" s="257">
        <f t="shared" si="115"/>
        <v>0</v>
      </c>
      <c r="BC43" s="257">
        <f t="shared" si="115"/>
        <v>616697</v>
      </c>
      <c r="BD43" s="257">
        <f t="shared" si="115"/>
        <v>0</v>
      </c>
      <c r="BE43" s="257">
        <f t="shared" si="115"/>
        <v>651078</v>
      </c>
      <c r="BF43" s="257">
        <f t="shared" si="115"/>
        <v>0</v>
      </c>
      <c r="BG43" s="257">
        <f t="shared" si="115"/>
        <v>672032</v>
      </c>
      <c r="BH43" s="462">
        <f t="shared" si="93"/>
        <v>2403436</v>
      </c>
      <c r="BI43" s="463">
        <f t="shared" si="94"/>
        <v>2403436</v>
      </c>
      <c r="BJ43" s="343">
        <v>21</v>
      </c>
      <c r="BK43" s="257">
        <f t="shared" ref="BK43:BR43" si="116">BK19</f>
        <v>0</v>
      </c>
      <c r="BL43" s="257">
        <f t="shared" si="116"/>
        <v>0</v>
      </c>
      <c r="BM43" s="257">
        <f t="shared" si="116"/>
        <v>0</v>
      </c>
      <c r="BN43" s="257">
        <f t="shared" si="116"/>
        <v>0</v>
      </c>
      <c r="BO43" s="257">
        <f t="shared" si="116"/>
        <v>0</v>
      </c>
      <c r="BP43" s="257">
        <f t="shared" si="116"/>
        <v>0</v>
      </c>
      <c r="BQ43" s="257">
        <f t="shared" si="116"/>
        <v>0</v>
      </c>
      <c r="BR43" s="257">
        <f t="shared" si="116"/>
        <v>0</v>
      </c>
      <c r="BS43" s="460">
        <f t="shared" si="95"/>
        <v>0</v>
      </c>
      <c r="BT43" s="465">
        <f t="shared" ref="BT43:CA43" si="117">BT19</f>
        <v>0</v>
      </c>
      <c r="BU43" s="257">
        <f t="shared" si="117"/>
        <v>13369</v>
      </c>
      <c r="BV43" s="257">
        <f t="shared" si="117"/>
        <v>0</v>
      </c>
      <c r="BW43" s="257">
        <f t="shared" si="117"/>
        <v>16568</v>
      </c>
      <c r="BX43" s="257">
        <f t="shared" si="117"/>
        <v>0</v>
      </c>
      <c r="BY43" s="257">
        <f t="shared" si="117"/>
        <v>17746</v>
      </c>
      <c r="BZ43" s="257">
        <f t="shared" si="117"/>
        <v>0</v>
      </c>
      <c r="CA43" s="257">
        <f t="shared" si="117"/>
        <v>16480</v>
      </c>
      <c r="CB43" s="462">
        <f t="shared" si="96"/>
        <v>64163</v>
      </c>
      <c r="CC43" s="463">
        <f t="shared" si="97"/>
        <v>64163</v>
      </c>
      <c r="CD43" s="343">
        <v>21</v>
      </c>
      <c r="CE43" s="462">
        <f t="shared" si="98"/>
        <v>0</v>
      </c>
      <c r="CF43" s="462">
        <f t="shared" si="99"/>
        <v>0</v>
      </c>
      <c r="CG43" s="462">
        <f t="shared" si="100"/>
        <v>0</v>
      </c>
      <c r="CH43" s="462">
        <f t="shared" si="101"/>
        <v>0</v>
      </c>
      <c r="CI43" s="464">
        <f t="shared" si="102"/>
        <v>0</v>
      </c>
      <c r="CJ43" s="462">
        <f t="shared" si="103"/>
        <v>543282</v>
      </c>
      <c r="CK43" s="462">
        <f t="shared" si="104"/>
        <v>698869</v>
      </c>
      <c r="CL43" s="462">
        <f t="shared" si="105"/>
        <v>791553</v>
      </c>
      <c r="CM43" s="462">
        <f t="shared" si="106"/>
        <v>831484</v>
      </c>
      <c r="CN43" s="464">
        <f t="shared" si="107"/>
        <v>2865188</v>
      </c>
      <c r="CO43" s="462">
        <f t="shared" si="108"/>
        <v>543282</v>
      </c>
      <c r="CP43" s="462">
        <f t="shared" si="109"/>
        <v>698869</v>
      </c>
      <c r="CQ43" s="462">
        <f t="shared" si="110"/>
        <v>791553</v>
      </c>
      <c r="CR43" s="462">
        <f t="shared" si="111"/>
        <v>831484</v>
      </c>
      <c r="CS43" s="464">
        <f t="shared" si="112"/>
        <v>2865188</v>
      </c>
      <c r="CT43" s="362"/>
    </row>
    <row r="44" spans="1:102" ht="15.75" customHeight="1" x14ac:dyDescent="0.25">
      <c r="A44" s="94" t="s">
        <v>1348</v>
      </c>
      <c r="B44" s="343">
        <v>22</v>
      </c>
      <c r="C44" s="257">
        <v>4426.54</v>
      </c>
      <c r="D44" s="257">
        <v>0</v>
      </c>
      <c r="E44" s="257">
        <v>7246.9061968480391</v>
      </c>
      <c r="F44" s="257">
        <v>1486.5450247447261</v>
      </c>
      <c r="G44" s="257">
        <v>13548.810000000001</v>
      </c>
      <c r="H44" s="257">
        <v>34.627063495532617</v>
      </c>
      <c r="I44" s="257">
        <v>8317.6</v>
      </c>
      <c r="J44" s="257">
        <v>0</v>
      </c>
      <c r="K44" s="460">
        <f t="shared" si="86"/>
        <v>35061.028285088301</v>
      </c>
      <c r="L44" s="465">
        <v>0</v>
      </c>
      <c r="M44" s="257">
        <v>49067.489999999983</v>
      </c>
      <c r="N44" s="257">
        <v>0</v>
      </c>
      <c r="O44" s="257">
        <v>45710.918345469669</v>
      </c>
      <c r="P44" s="257">
        <v>0</v>
      </c>
      <c r="Q44" s="257">
        <v>50141.979999999719</v>
      </c>
      <c r="R44" s="257">
        <v>0</v>
      </c>
      <c r="S44" s="257">
        <v>43289.750000000058</v>
      </c>
      <c r="T44" s="462">
        <f t="shared" si="87"/>
        <v>188210.13834546943</v>
      </c>
      <c r="U44" s="463">
        <f t="shared" si="88"/>
        <v>223271.16663055774</v>
      </c>
      <c r="V44" s="343">
        <v>22</v>
      </c>
      <c r="W44" s="257">
        <v>63.33</v>
      </c>
      <c r="X44" s="257">
        <v>0</v>
      </c>
      <c r="Y44" s="257">
        <v>1180.8799999999999</v>
      </c>
      <c r="Z44" s="257">
        <v>100.17044630173223</v>
      </c>
      <c r="AA44" s="257">
        <v>994.64999999999986</v>
      </c>
      <c r="AB44" s="257">
        <v>0</v>
      </c>
      <c r="AC44" s="257">
        <v>343.40999999999997</v>
      </c>
      <c r="AD44" s="257">
        <v>0</v>
      </c>
      <c r="AE44" s="460">
        <f t="shared" si="89"/>
        <v>2682.4404463017318</v>
      </c>
      <c r="AF44" s="465">
        <v>0</v>
      </c>
      <c r="AG44" s="257">
        <v>31970.499999999978</v>
      </c>
      <c r="AH44" s="257">
        <v>0</v>
      </c>
      <c r="AI44" s="257">
        <v>26361.665273626797</v>
      </c>
      <c r="AJ44" s="257">
        <v>0</v>
      </c>
      <c r="AK44" s="257">
        <v>570.78999999998632</v>
      </c>
      <c r="AL44" s="257">
        <v>0</v>
      </c>
      <c r="AM44" s="257">
        <v>2368.8499999999913</v>
      </c>
      <c r="AN44" s="462">
        <f t="shared" si="90"/>
        <v>61271.805273626749</v>
      </c>
      <c r="AO44" s="463">
        <f t="shared" si="91"/>
        <v>63954.245719928484</v>
      </c>
      <c r="AP44" s="343">
        <v>22</v>
      </c>
      <c r="AQ44" s="257">
        <v>112356.63000000015</v>
      </c>
      <c r="AR44" s="257">
        <v>0</v>
      </c>
      <c r="AS44" s="257">
        <v>103106.35303147406</v>
      </c>
      <c r="AT44" s="257">
        <v>9182.0075481082131</v>
      </c>
      <c r="AU44" s="257">
        <v>102330.83237489473</v>
      </c>
      <c r="AV44" s="257">
        <v>0</v>
      </c>
      <c r="AW44" s="257">
        <v>153219.09999999998</v>
      </c>
      <c r="AX44" s="257">
        <v>0</v>
      </c>
      <c r="AY44" s="460">
        <f t="shared" si="92"/>
        <v>480194.92295447714</v>
      </c>
      <c r="AZ44" s="465">
        <v>0</v>
      </c>
      <c r="BA44" s="257">
        <v>431537.87999999797</v>
      </c>
      <c r="BB44" s="257">
        <v>0</v>
      </c>
      <c r="BC44" s="257">
        <v>407270.65510570846</v>
      </c>
      <c r="BD44" s="257">
        <v>0</v>
      </c>
      <c r="BE44" s="257">
        <v>423377.57931629929</v>
      </c>
      <c r="BF44" s="257">
        <v>0</v>
      </c>
      <c r="BG44" s="257">
        <v>467334.8041265115</v>
      </c>
      <c r="BH44" s="462">
        <f t="shared" si="93"/>
        <v>1729520.9185485172</v>
      </c>
      <c r="BI44" s="463">
        <f t="shared" si="94"/>
        <v>2209715.8415029943</v>
      </c>
      <c r="BJ44" s="343">
        <v>22</v>
      </c>
      <c r="BK44" s="257">
        <v>0</v>
      </c>
      <c r="BL44" s="257">
        <v>0</v>
      </c>
      <c r="BM44" s="257">
        <v>0</v>
      </c>
      <c r="BN44" s="257">
        <v>0</v>
      </c>
      <c r="BO44" s="257">
        <v>0</v>
      </c>
      <c r="BP44" s="257">
        <v>0</v>
      </c>
      <c r="BQ44" s="257">
        <v>0</v>
      </c>
      <c r="BR44" s="257">
        <v>0</v>
      </c>
      <c r="BS44" s="460">
        <f t="shared" si="95"/>
        <v>0</v>
      </c>
      <c r="BT44" s="465">
        <v>0</v>
      </c>
      <c r="BU44" s="257">
        <v>16164.329999999998</v>
      </c>
      <c r="BV44" s="257">
        <v>0</v>
      </c>
      <c r="BW44" s="257">
        <v>15196.020000000011</v>
      </c>
      <c r="BX44" s="257">
        <v>0</v>
      </c>
      <c r="BY44" s="257">
        <v>13038.970000000019</v>
      </c>
      <c r="BZ44" s="257">
        <v>0</v>
      </c>
      <c r="CA44" s="257">
        <v>13242.240000000002</v>
      </c>
      <c r="CB44" s="462">
        <f t="shared" si="96"/>
        <v>57641.560000000027</v>
      </c>
      <c r="CC44" s="463">
        <f t="shared" si="97"/>
        <v>57641.560000000027</v>
      </c>
      <c r="CD44" s="343">
        <v>22</v>
      </c>
      <c r="CE44" s="462">
        <f t="shared" si="98"/>
        <v>116846.50000000015</v>
      </c>
      <c r="CF44" s="462">
        <f t="shared" si="99"/>
        <v>122302.86224747678</v>
      </c>
      <c r="CG44" s="462">
        <f t="shared" si="100"/>
        <v>116908.91943839026</v>
      </c>
      <c r="CH44" s="462">
        <f t="shared" si="101"/>
        <v>161880.10999999999</v>
      </c>
      <c r="CI44" s="464">
        <f t="shared" si="102"/>
        <v>517938.39168586716</v>
      </c>
      <c r="CJ44" s="462">
        <f t="shared" si="103"/>
        <v>528740.19999999786</v>
      </c>
      <c r="CK44" s="462">
        <f t="shared" si="104"/>
        <v>494539.25872480497</v>
      </c>
      <c r="CL44" s="462">
        <f t="shared" si="105"/>
        <v>487129.31931629905</v>
      </c>
      <c r="CM44" s="462">
        <f t="shared" si="106"/>
        <v>526235.64412651153</v>
      </c>
      <c r="CN44" s="464">
        <f t="shared" si="107"/>
        <v>2036644.4221676134</v>
      </c>
      <c r="CO44" s="462">
        <f t="shared" si="108"/>
        <v>645586.69999999797</v>
      </c>
      <c r="CP44" s="462">
        <f t="shared" si="109"/>
        <v>616842.12097228167</v>
      </c>
      <c r="CQ44" s="462">
        <f t="shared" si="110"/>
        <v>604038.23875468923</v>
      </c>
      <c r="CR44" s="462">
        <f t="shared" si="111"/>
        <v>688115.75412651151</v>
      </c>
      <c r="CS44" s="464">
        <f t="shared" si="112"/>
        <v>2554582.8138534804</v>
      </c>
      <c r="CU44" s="362"/>
    </row>
    <row r="45" spans="1:102" ht="15.75" customHeight="1" x14ac:dyDescent="0.25">
      <c r="A45" s="94" t="s">
        <v>1349</v>
      </c>
      <c r="B45" s="343">
        <v>23</v>
      </c>
      <c r="C45" s="257">
        <v>3224.9495298732486</v>
      </c>
      <c r="D45" s="257">
        <v>0</v>
      </c>
      <c r="E45" s="257">
        <v>5595.0718468143177</v>
      </c>
      <c r="F45" s="257">
        <v>1486.5450247447261</v>
      </c>
      <c r="G45" s="257">
        <v>10698.73842672207</v>
      </c>
      <c r="H45" s="257">
        <v>34.627063495532617</v>
      </c>
      <c r="I45" s="257">
        <v>6683.2229969304535</v>
      </c>
      <c r="J45" s="257">
        <v>0</v>
      </c>
      <c r="K45" s="460">
        <f t="shared" si="86"/>
        <v>27723.154888580346</v>
      </c>
      <c r="L45" s="465">
        <v>0</v>
      </c>
      <c r="M45" s="257">
        <v>21660.29427303404</v>
      </c>
      <c r="N45" s="257">
        <v>0</v>
      </c>
      <c r="O45" s="257">
        <v>19172.75920990347</v>
      </c>
      <c r="P45" s="257">
        <v>0</v>
      </c>
      <c r="Q45" s="257">
        <v>17139.433565672953</v>
      </c>
      <c r="R45" s="257">
        <v>0</v>
      </c>
      <c r="S45" s="257">
        <v>7958.8245740591083</v>
      </c>
      <c r="T45" s="462">
        <f t="shared" si="87"/>
        <v>65931.311622669571</v>
      </c>
      <c r="U45" s="463">
        <f t="shared" si="88"/>
        <v>93654.466511249921</v>
      </c>
      <c r="V45" s="343">
        <v>23</v>
      </c>
      <c r="W45" s="257">
        <v>46.138982981487302</v>
      </c>
      <c r="X45" s="257">
        <v>0</v>
      </c>
      <c r="Y45" s="257">
        <v>890.09147531125814</v>
      </c>
      <c r="Z45" s="257">
        <v>100.17044630173223</v>
      </c>
      <c r="AA45" s="257">
        <v>785.41954430972942</v>
      </c>
      <c r="AB45" s="257">
        <v>0</v>
      </c>
      <c r="AC45" s="257">
        <v>275.93123128978152</v>
      </c>
      <c r="AD45" s="257">
        <v>0</v>
      </c>
      <c r="AE45" s="460">
        <f t="shared" si="89"/>
        <v>2097.7516801939887</v>
      </c>
      <c r="AF45" s="465">
        <v>0</v>
      </c>
      <c r="AG45" s="257">
        <v>15307.646993364609</v>
      </c>
      <c r="AH45" s="257">
        <v>0</v>
      </c>
      <c r="AI45" s="257">
        <v>13371.708620848402</v>
      </c>
      <c r="AJ45" s="257">
        <v>0</v>
      </c>
      <c r="AK45" s="257">
        <v>-12659.33647738109</v>
      </c>
      <c r="AL45" s="257">
        <v>0</v>
      </c>
      <c r="AM45" s="257">
        <v>-10216.661719189164</v>
      </c>
      <c r="AN45" s="462">
        <f t="shared" si="90"/>
        <v>5803.3574176427574</v>
      </c>
      <c r="AO45" s="463">
        <f t="shared" si="91"/>
        <v>7901.1090978367465</v>
      </c>
      <c r="AP45" s="343">
        <v>23</v>
      </c>
      <c r="AQ45" s="257">
        <v>81857.265741785464</v>
      </c>
      <c r="AR45" s="257">
        <v>0</v>
      </c>
      <c r="AS45" s="257">
        <v>78125.267591385069</v>
      </c>
      <c r="AT45" s="257">
        <v>9182.0075481082131</v>
      </c>
      <c r="AU45" s="257">
        <v>80808.405130373634</v>
      </c>
      <c r="AV45" s="257">
        <v>0</v>
      </c>
      <c r="AW45" s="257">
        <v>123112.12521508447</v>
      </c>
      <c r="AX45" s="257">
        <v>0</v>
      </c>
      <c r="AY45" s="460">
        <f t="shared" si="92"/>
        <v>373085.07122673682</v>
      </c>
      <c r="AZ45" s="465">
        <v>0</v>
      </c>
      <c r="BA45" s="257">
        <v>163688.81748896762</v>
      </c>
      <c r="BB45" s="257">
        <v>0</v>
      </c>
      <c r="BC45" s="257">
        <v>113683.58947322071</v>
      </c>
      <c r="BD45" s="257">
        <v>0</v>
      </c>
      <c r="BE45" s="257">
        <v>136975.66988117967</v>
      </c>
      <c r="BF45" s="257">
        <v>0</v>
      </c>
      <c r="BG45" s="257">
        <v>177963.7869351737</v>
      </c>
      <c r="BH45" s="462">
        <f t="shared" si="93"/>
        <v>592311.86377854168</v>
      </c>
      <c r="BI45" s="463">
        <f t="shared" si="94"/>
        <v>965396.93500527856</v>
      </c>
      <c r="BJ45" s="343">
        <v>23</v>
      </c>
      <c r="BK45" s="257">
        <v>0</v>
      </c>
      <c r="BL45" s="257">
        <v>0</v>
      </c>
      <c r="BM45" s="257">
        <v>0</v>
      </c>
      <c r="BN45" s="257">
        <v>0</v>
      </c>
      <c r="BO45" s="257">
        <v>0</v>
      </c>
      <c r="BP45" s="257">
        <v>0</v>
      </c>
      <c r="BQ45" s="257">
        <v>0</v>
      </c>
      <c r="BR45" s="257">
        <v>0</v>
      </c>
      <c r="BS45" s="460">
        <f t="shared" si="95"/>
        <v>0</v>
      </c>
      <c r="BT45" s="465">
        <v>0</v>
      </c>
      <c r="BU45" s="257">
        <v>7325.1379640171872</v>
      </c>
      <c r="BV45" s="257">
        <v>0</v>
      </c>
      <c r="BW45" s="257">
        <v>6018.4258459900957</v>
      </c>
      <c r="BX45" s="257">
        <v>0</v>
      </c>
      <c r="BY45" s="257">
        <v>4832.9230860518765</v>
      </c>
      <c r="BZ45" s="257">
        <v>0</v>
      </c>
      <c r="CA45" s="257">
        <v>5692.1199436958959</v>
      </c>
      <c r="CB45" s="462">
        <f t="shared" si="96"/>
        <v>23868.606839755055</v>
      </c>
      <c r="CC45" s="463">
        <f t="shared" si="97"/>
        <v>23868.606839755055</v>
      </c>
      <c r="CD45" s="343">
        <v>23</v>
      </c>
      <c r="CE45" s="462">
        <f t="shared" si="98"/>
        <v>85128.354254640202</v>
      </c>
      <c r="CF45" s="462">
        <f t="shared" si="99"/>
        <v>95379.153932665315</v>
      </c>
      <c r="CG45" s="462">
        <f t="shared" si="100"/>
        <v>92327.190164900967</v>
      </c>
      <c r="CH45" s="462">
        <f t="shared" si="101"/>
        <v>130071.27944330469</v>
      </c>
      <c r="CI45" s="464">
        <f t="shared" si="102"/>
        <v>402905.97779551113</v>
      </c>
      <c r="CJ45" s="462">
        <f t="shared" si="103"/>
        <v>207981.89671938345</v>
      </c>
      <c r="CK45" s="462">
        <f t="shared" si="104"/>
        <v>152246.48314996267</v>
      </c>
      <c r="CL45" s="462">
        <f t="shared" si="105"/>
        <v>146288.69005552342</v>
      </c>
      <c r="CM45" s="462">
        <f t="shared" si="106"/>
        <v>181398.06973373954</v>
      </c>
      <c r="CN45" s="464">
        <f t="shared" si="107"/>
        <v>687915.13965860906</v>
      </c>
      <c r="CO45" s="462">
        <f t="shared" si="108"/>
        <v>293110.25097402366</v>
      </c>
      <c r="CP45" s="462">
        <f t="shared" si="109"/>
        <v>247625.637082628</v>
      </c>
      <c r="CQ45" s="462">
        <f t="shared" si="110"/>
        <v>238615.88022042438</v>
      </c>
      <c r="CR45" s="462">
        <f t="shared" si="111"/>
        <v>311469.34917704423</v>
      </c>
      <c r="CS45" s="464">
        <f t="shared" si="112"/>
        <v>1090821.1174541204</v>
      </c>
      <c r="CU45" s="362"/>
      <c r="CV45" s="362"/>
    </row>
    <row r="46" spans="1:102" ht="15.75" customHeight="1" x14ac:dyDescent="0.25">
      <c r="A46" s="94" t="s">
        <v>1350</v>
      </c>
      <c r="B46" s="343">
        <v>24</v>
      </c>
      <c r="C46" s="257">
        <v>0</v>
      </c>
      <c r="D46" s="257">
        <v>0</v>
      </c>
      <c r="E46" s="257">
        <v>555.85</v>
      </c>
      <c r="F46" s="257">
        <v>0</v>
      </c>
      <c r="G46" s="257">
        <v>1400.53</v>
      </c>
      <c r="H46" s="257">
        <v>0</v>
      </c>
      <c r="I46" s="257">
        <v>1135.28</v>
      </c>
      <c r="J46" s="257">
        <v>0</v>
      </c>
      <c r="K46" s="460">
        <f t="shared" si="86"/>
        <v>3091.66</v>
      </c>
      <c r="L46" s="465">
        <v>0</v>
      </c>
      <c r="M46" s="257">
        <v>5278.9600000000009</v>
      </c>
      <c r="N46" s="257">
        <v>0</v>
      </c>
      <c r="O46" s="257">
        <v>3838.42</v>
      </c>
      <c r="P46" s="257">
        <v>0</v>
      </c>
      <c r="Q46" s="257">
        <v>6564.23</v>
      </c>
      <c r="R46" s="257">
        <v>0</v>
      </c>
      <c r="S46" s="257">
        <v>10667.48</v>
      </c>
      <c r="T46" s="462">
        <f t="shared" si="87"/>
        <v>26349.09</v>
      </c>
      <c r="U46" s="463">
        <f t="shared" si="88"/>
        <v>29440.75</v>
      </c>
      <c r="V46" s="343">
        <v>24</v>
      </c>
      <c r="W46" s="257">
        <v>0</v>
      </c>
      <c r="X46" s="257">
        <v>0</v>
      </c>
      <c r="Y46" s="257">
        <v>0</v>
      </c>
      <c r="Z46" s="257">
        <v>0</v>
      </c>
      <c r="AA46" s="257">
        <v>97.8</v>
      </c>
      <c r="AB46" s="257">
        <v>0</v>
      </c>
      <c r="AC46" s="257">
        <v>0</v>
      </c>
      <c r="AD46" s="257">
        <v>0</v>
      </c>
      <c r="AE46" s="460">
        <f t="shared" si="89"/>
        <v>97.8</v>
      </c>
      <c r="AF46" s="465">
        <v>0</v>
      </c>
      <c r="AG46" s="257">
        <v>1183.3899999999999</v>
      </c>
      <c r="AH46" s="257">
        <v>0</v>
      </c>
      <c r="AI46" s="257">
        <v>1254.32</v>
      </c>
      <c r="AJ46" s="257">
        <v>0</v>
      </c>
      <c r="AK46" s="257">
        <v>1871.4199999999998</v>
      </c>
      <c r="AL46" s="257">
        <v>0</v>
      </c>
      <c r="AM46" s="257">
        <v>1498.6599999999996</v>
      </c>
      <c r="AN46" s="462">
        <f t="shared" si="90"/>
        <v>5807.79</v>
      </c>
      <c r="AO46" s="463">
        <f t="shared" si="91"/>
        <v>5905.59</v>
      </c>
      <c r="AP46" s="343">
        <v>24</v>
      </c>
      <c r="AQ46" s="257">
        <v>1341.4099999999999</v>
      </c>
      <c r="AR46" s="257">
        <v>0</v>
      </c>
      <c r="AS46" s="257">
        <v>749.36</v>
      </c>
      <c r="AT46" s="257">
        <v>0</v>
      </c>
      <c r="AU46" s="257">
        <v>5081.699999999998</v>
      </c>
      <c r="AV46" s="257">
        <v>0</v>
      </c>
      <c r="AW46" s="257">
        <v>11060.070000000003</v>
      </c>
      <c r="AX46" s="257">
        <v>0</v>
      </c>
      <c r="AY46" s="460">
        <f t="shared" si="92"/>
        <v>18232.54</v>
      </c>
      <c r="AZ46" s="465">
        <v>0</v>
      </c>
      <c r="BA46" s="257">
        <v>25088.440000000002</v>
      </c>
      <c r="BB46" s="257">
        <v>0</v>
      </c>
      <c r="BC46" s="257">
        <v>34562.020000000004</v>
      </c>
      <c r="BD46" s="257">
        <v>0</v>
      </c>
      <c r="BE46" s="257">
        <v>53440.420000000049</v>
      </c>
      <c r="BF46" s="257">
        <v>0</v>
      </c>
      <c r="BG46" s="257">
        <v>59961.31</v>
      </c>
      <c r="BH46" s="462">
        <f t="shared" si="93"/>
        <v>173052.19000000006</v>
      </c>
      <c r="BI46" s="463">
        <f t="shared" si="94"/>
        <v>191284.73000000007</v>
      </c>
      <c r="BJ46" s="343">
        <v>24</v>
      </c>
      <c r="BK46" s="257">
        <v>0</v>
      </c>
      <c r="BL46" s="257">
        <v>0</v>
      </c>
      <c r="BM46" s="257">
        <v>0</v>
      </c>
      <c r="BN46" s="257">
        <v>0</v>
      </c>
      <c r="BO46" s="257">
        <v>0</v>
      </c>
      <c r="BP46" s="257">
        <v>0</v>
      </c>
      <c r="BQ46" s="257">
        <v>0</v>
      </c>
      <c r="BR46" s="257">
        <v>0</v>
      </c>
      <c r="BS46" s="460">
        <f t="shared" si="95"/>
        <v>0</v>
      </c>
      <c r="BT46" s="465">
        <v>0</v>
      </c>
      <c r="BU46" s="257">
        <v>1288.56</v>
      </c>
      <c r="BV46" s="257">
        <v>0</v>
      </c>
      <c r="BW46" s="257">
        <v>736.38000000000011</v>
      </c>
      <c r="BX46" s="257">
        <v>0</v>
      </c>
      <c r="BY46" s="257">
        <v>279.74</v>
      </c>
      <c r="BZ46" s="257">
        <v>0</v>
      </c>
      <c r="CA46" s="257">
        <v>523.16000000000008</v>
      </c>
      <c r="CB46" s="462">
        <f t="shared" si="96"/>
        <v>2827.84</v>
      </c>
      <c r="CC46" s="463">
        <f t="shared" si="97"/>
        <v>2827.84</v>
      </c>
      <c r="CD46" s="343">
        <v>24</v>
      </c>
      <c r="CE46" s="462">
        <f t="shared" si="98"/>
        <v>1341.4099999999999</v>
      </c>
      <c r="CF46" s="462">
        <f t="shared" si="99"/>
        <v>1305.21</v>
      </c>
      <c r="CG46" s="462">
        <f t="shared" si="100"/>
        <v>6580.0299999999979</v>
      </c>
      <c r="CH46" s="462">
        <f t="shared" si="101"/>
        <v>12195.350000000004</v>
      </c>
      <c r="CI46" s="464">
        <f t="shared" si="102"/>
        <v>21422</v>
      </c>
      <c r="CJ46" s="462">
        <f t="shared" si="103"/>
        <v>32839.35</v>
      </c>
      <c r="CK46" s="462">
        <f t="shared" si="104"/>
        <v>40391.14</v>
      </c>
      <c r="CL46" s="462">
        <f t="shared" si="105"/>
        <v>62155.810000000049</v>
      </c>
      <c r="CM46" s="462">
        <f t="shared" si="106"/>
        <v>72650.61</v>
      </c>
      <c r="CN46" s="464">
        <f t="shared" si="107"/>
        <v>208036.91000000006</v>
      </c>
      <c r="CO46" s="462">
        <f t="shared" si="108"/>
        <v>34180.76</v>
      </c>
      <c r="CP46" s="462">
        <f t="shared" si="109"/>
        <v>41696.35</v>
      </c>
      <c r="CQ46" s="462">
        <f t="shared" si="110"/>
        <v>68735.840000000055</v>
      </c>
      <c r="CR46" s="462">
        <f t="shared" si="111"/>
        <v>84845.96</v>
      </c>
      <c r="CS46" s="464">
        <f t="shared" si="112"/>
        <v>229458.91000000006</v>
      </c>
    </row>
    <row r="47" spans="1:102" ht="15.75" customHeight="1" x14ac:dyDescent="0.25">
      <c r="A47" s="94" t="s">
        <v>1351</v>
      </c>
      <c r="B47" s="343">
        <v>25</v>
      </c>
      <c r="C47" s="257">
        <v>0</v>
      </c>
      <c r="D47" s="257">
        <v>0</v>
      </c>
      <c r="E47" s="257">
        <v>418.97343214531782</v>
      </c>
      <c r="F47" s="257">
        <v>0</v>
      </c>
      <c r="G47" s="257">
        <v>1105.9203080401201</v>
      </c>
      <c r="H47" s="257">
        <v>0</v>
      </c>
      <c r="I47" s="257">
        <v>912.20176540771433</v>
      </c>
      <c r="J47" s="257">
        <v>0</v>
      </c>
      <c r="K47" s="460">
        <f t="shared" si="86"/>
        <v>2437.0955055931522</v>
      </c>
      <c r="L47" s="465">
        <v>0</v>
      </c>
      <c r="M47" s="257">
        <v>3510.0967054256034</v>
      </c>
      <c r="N47" s="257">
        <v>0</v>
      </c>
      <c r="O47" s="257">
        <v>2554.5316043090106</v>
      </c>
      <c r="P47" s="257">
        <v>0</v>
      </c>
      <c r="Q47" s="257">
        <v>5162.1903203877291</v>
      </c>
      <c r="R47" s="257">
        <v>0</v>
      </c>
      <c r="S47" s="257">
        <v>8585.427702585228</v>
      </c>
      <c r="T47" s="462">
        <f t="shared" si="87"/>
        <v>19812.246332707571</v>
      </c>
      <c r="U47" s="463">
        <f t="shared" si="88"/>
        <v>22249.341838300723</v>
      </c>
      <c r="V47" s="343">
        <v>25</v>
      </c>
      <c r="W47" s="257">
        <v>0</v>
      </c>
      <c r="X47" s="257">
        <v>0</v>
      </c>
      <c r="Y47" s="257">
        <v>0</v>
      </c>
      <c r="Z47" s="257">
        <v>0</v>
      </c>
      <c r="AA47" s="257">
        <v>77.227196937105049</v>
      </c>
      <c r="AB47" s="257">
        <v>0</v>
      </c>
      <c r="AC47" s="257">
        <v>0</v>
      </c>
      <c r="AD47" s="257">
        <v>0</v>
      </c>
      <c r="AE47" s="460">
        <f t="shared" si="89"/>
        <v>77.227196937105049</v>
      </c>
      <c r="AF47" s="465">
        <v>0</v>
      </c>
      <c r="AG47" s="257">
        <v>786.86205999545427</v>
      </c>
      <c r="AH47" s="257">
        <v>0</v>
      </c>
      <c r="AI47" s="257">
        <v>834.77057797658347</v>
      </c>
      <c r="AJ47" s="257">
        <v>0</v>
      </c>
      <c r="AK47" s="257">
        <v>1471.7074522647752</v>
      </c>
      <c r="AL47" s="257">
        <v>0</v>
      </c>
      <c r="AM47" s="257">
        <v>1206.1552569825653</v>
      </c>
      <c r="AN47" s="462">
        <f t="shared" si="90"/>
        <v>4299.4953472193783</v>
      </c>
      <c r="AO47" s="463">
        <f t="shared" si="91"/>
        <v>4376.7225441564833</v>
      </c>
      <c r="AP47" s="343">
        <v>25</v>
      </c>
      <c r="AQ47" s="257">
        <v>977.28238056524378</v>
      </c>
      <c r="AR47" s="257">
        <v>0</v>
      </c>
      <c r="AS47" s="257">
        <v>564.83211498140747</v>
      </c>
      <c r="AT47" s="257">
        <v>0</v>
      </c>
      <c r="AU47" s="257">
        <v>4012.7346285816629</v>
      </c>
      <c r="AV47" s="257">
        <v>0</v>
      </c>
      <c r="AW47" s="257">
        <v>8886.8079940921198</v>
      </c>
      <c r="AX47" s="257">
        <v>0</v>
      </c>
      <c r="AY47" s="460">
        <f t="shared" si="92"/>
        <v>14441.657118220433</v>
      </c>
      <c r="AZ47" s="465">
        <v>0</v>
      </c>
      <c r="BA47" s="257">
        <v>16681.856007294606</v>
      </c>
      <c r="BB47" s="257">
        <v>0</v>
      </c>
      <c r="BC47" s="257">
        <v>23001.592425727278</v>
      </c>
      <c r="BD47" s="257">
        <v>0</v>
      </c>
      <c r="BE47" s="257">
        <v>42026.19634617542</v>
      </c>
      <c r="BF47" s="257">
        <v>0</v>
      </c>
      <c r="BG47" s="257">
        <v>48258.210182470531</v>
      </c>
      <c r="BH47" s="462">
        <f t="shared" si="93"/>
        <v>129967.85496166784</v>
      </c>
      <c r="BI47" s="463">
        <f t="shared" si="94"/>
        <v>144409.51207988826</v>
      </c>
      <c r="BJ47" s="343">
        <v>25</v>
      </c>
      <c r="BK47" s="257">
        <v>0</v>
      </c>
      <c r="BL47" s="257">
        <v>0</v>
      </c>
      <c r="BM47" s="257">
        <v>0</v>
      </c>
      <c r="BN47" s="257">
        <v>0</v>
      </c>
      <c r="BO47" s="257">
        <v>0</v>
      </c>
      <c r="BP47" s="257">
        <v>0</v>
      </c>
      <c r="BQ47" s="257">
        <v>0</v>
      </c>
      <c r="BR47" s="257">
        <v>0</v>
      </c>
      <c r="BS47" s="460">
        <f t="shared" si="95"/>
        <v>0</v>
      </c>
      <c r="BT47" s="465">
        <v>0</v>
      </c>
      <c r="BU47" s="257">
        <v>856.79190801658183</v>
      </c>
      <c r="BV47" s="257">
        <v>0</v>
      </c>
      <c r="BW47" s="257">
        <v>490.07299430001649</v>
      </c>
      <c r="BX47" s="257">
        <v>0</v>
      </c>
      <c r="BY47" s="257">
        <v>219.99093880398212</v>
      </c>
      <c r="BZ47" s="257">
        <v>0</v>
      </c>
      <c r="CA47" s="257">
        <v>421.05092832463612</v>
      </c>
      <c r="CB47" s="462">
        <f t="shared" si="96"/>
        <v>1987.9067694452165</v>
      </c>
      <c r="CC47" s="463">
        <f t="shared" si="97"/>
        <v>1987.9067694452165</v>
      </c>
      <c r="CD47" s="343">
        <v>25</v>
      </c>
      <c r="CE47" s="462">
        <f t="shared" si="98"/>
        <v>977.28238056524378</v>
      </c>
      <c r="CF47" s="462">
        <f t="shared" si="99"/>
        <v>983.80554712672529</v>
      </c>
      <c r="CG47" s="462">
        <f t="shared" si="100"/>
        <v>5195.8821335588882</v>
      </c>
      <c r="CH47" s="462">
        <f t="shared" si="101"/>
        <v>9799.0097594998333</v>
      </c>
      <c r="CI47" s="464">
        <f t="shared" si="102"/>
        <v>16955.97982075069</v>
      </c>
      <c r="CJ47" s="462">
        <f t="shared" si="103"/>
        <v>21835.606680732242</v>
      </c>
      <c r="CK47" s="462">
        <f t="shared" si="104"/>
        <v>26880.967602312889</v>
      </c>
      <c r="CL47" s="462">
        <f t="shared" si="105"/>
        <v>48880.085057631906</v>
      </c>
      <c r="CM47" s="462">
        <f t="shared" si="106"/>
        <v>58470.84407036296</v>
      </c>
      <c r="CN47" s="464">
        <f t="shared" si="107"/>
        <v>156067.50341104</v>
      </c>
      <c r="CO47" s="462">
        <f t="shared" si="108"/>
        <v>22812.889061297486</v>
      </c>
      <c r="CP47" s="462">
        <f t="shared" si="109"/>
        <v>27864.773149439614</v>
      </c>
      <c r="CQ47" s="462">
        <f t="shared" si="110"/>
        <v>54075.967191190794</v>
      </c>
      <c r="CR47" s="462">
        <f t="shared" si="111"/>
        <v>68269.853829862797</v>
      </c>
      <c r="CS47" s="464">
        <f t="shared" si="112"/>
        <v>173023.48323179068</v>
      </c>
    </row>
    <row r="48" spans="1:102" ht="15.75" customHeight="1" x14ac:dyDescent="0.25">
      <c r="A48" s="94" t="s">
        <v>228</v>
      </c>
      <c r="B48" s="343">
        <v>26</v>
      </c>
      <c r="C48" s="257">
        <v>832.60999999999922</v>
      </c>
      <c r="D48" s="257">
        <v>1747.1899999999982</v>
      </c>
      <c r="E48" s="257">
        <v>2457.7263046437492</v>
      </c>
      <c r="F48" s="257">
        <v>1457.2819730395668</v>
      </c>
      <c r="G48" s="257">
        <v>2236.2594198812421</v>
      </c>
      <c r="H48" s="257">
        <v>706.2899564865246</v>
      </c>
      <c r="I48" s="257">
        <v>935.32956841719215</v>
      </c>
      <c r="J48" s="257">
        <v>1138.8102762291942</v>
      </c>
      <c r="K48" s="460">
        <f t="shared" si="86"/>
        <v>11511.497498697465</v>
      </c>
      <c r="L48" s="465">
        <v>0</v>
      </c>
      <c r="M48" s="257">
        <v>10611.409999999998</v>
      </c>
      <c r="N48" s="257">
        <v>0</v>
      </c>
      <c r="O48" s="257">
        <v>13047.228956977124</v>
      </c>
      <c r="P48" s="257">
        <v>0</v>
      </c>
      <c r="Q48" s="257">
        <v>9429.9096874757688</v>
      </c>
      <c r="R48" s="257">
        <v>0</v>
      </c>
      <c r="S48" s="257">
        <v>23797.324436888804</v>
      </c>
      <c r="T48" s="462">
        <f t="shared" si="87"/>
        <v>56885.873081341691</v>
      </c>
      <c r="U48" s="463">
        <f t="shared" si="88"/>
        <v>68397.370580039162</v>
      </c>
      <c r="V48" s="343">
        <v>26</v>
      </c>
      <c r="W48" s="257">
        <v>125.93999999999987</v>
      </c>
      <c r="X48" s="257">
        <v>417.91999999999956</v>
      </c>
      <c r="Y48" s="257">
        <v>0</v>
      </c>
      <c r="Z48" s="257">
        <v>32.233361464704764</v>
      </c>
      <c r="AA48" s="257">
        <v>0</v>
      </c>
      <c r="AB48" s="257">
        <v>30.030816490197314</v>
      </c>
      <c r="AC48" s="257">
        <v>118.26976805971846</v>
      </c>
      <c r="AD48" s="257">
        <v>71.215231417749365</v>
      </c>
      <c r="AE48" s="460">
        <f t="shared" si="89"/>
        <v>795.60917743236939</v>
      </c>
      <c r="AF48" s="465">
        <v>0</v>
      </c>
      <c r="AG48" s="257">
        <v>2289.9299999999998</v>
      </c>
      <c r="AH48" s="257">
        <v>0</v>
      </c>
      <c r="AI48" s="257">
        <v>1984.3868100265245</v>
      </c>
      <c r="AJ48" s="257">
        <v>0</v>
      </c>
      <c r="AK48" s="257">
        <v>2356.2085560718128</v>
      </c>
      <c r="AL48" s="257">
        <v>0</v>
      </c>
      <c r="AM48" s="257">
        <v>1000.7252045774736</v>
      </c>
      <c r="AN48" s="462">
        <f t="shared" si="90"/>
        <v>7631.250570675812</v>
      </c>
      <c r="AO48" s="463">
        <f t="shared" si="91"/>
        <v>8426.8597481081815</v>
      </c>
      <c r="AP48" s="343">
        <v>26</v>
      </c>
      <c r="AQ48" s="257">
        <v>2687.2599999999966</v>
      </c>
      <c r="AR48" s="257">
        <v>5579.5899999999938</v>
      </c>
      <c r="AS48" s="257">
        <v>2517.1425008776332</v>
      </c>
      <c r="AT48" s="257">
        <v>2202.4896872249678</v>
      </c>
      <c r="AU48" s="257">
        <v>4112.0188649496822</v>
      </c>
      <c r="AV48" s="257">
        <v>2002.6118569716807</v>
      </c>
      <c r="AW48" s="257">
        <v>5325.3670212903371</v>
      </c>
      <c r="AX48" s="257">
        <v>4478.0837300897529</v>
      </c>
      <c r="AY48" s="460">
        <f t="shared" si="92"/>
        <v>28904.563661404049</v>
      </c>
      <c r="AZ48" s="465">
        <v>0</v>
      </c>
      <c r="BA48" s="257">
        <v>39215.439999999995</v>
      </c>
      <c r="BB48" s="257">
        <v>0</v>
      </c>
      <c r="BC48" s="257">
        <v>23610.439769637738</v>
      </c>
      <c r="BD48" s="257">
        <v>0</v>
      </c>
      <c r="BE48" s="257">
        <v>29395.166950998355</v>
      </c>
      <c r="BF48" s="257">
        <v>0</v>
      </c>
      <c r="BG48" s="257">
        <v>43268.712563566602</v>
      </c>
      <c r="BH48" s="462">
        <f t="shared" si="93"/>
        <v>135489.75928420268</v>
      </c>
      <c r="BI48" s="463">
        <f t="shared" si="94"/>
        <v>164394.32294560672</v>
      </c>
      <c r="BJ48" s="343">
        <v>26</v>
      </c>
      <c r="BK48" s="257">
        <v>584.07999999999936</v>
      </c>
      <c r="BL48" s="257">
        <v>350.48999999999972</v>
      </c>
      <c r="BM48" s="257">
        <v>0</v>
      </c>
      <c r="BN48" s="257">
        <v>190.47986424348966</v>
      </c>
      <c r="BO48" s="257">
        <v>205.27900568490995</v>
      </c>
      <c r="BP48" s="257">
        <v>110.13969675747924</v>
      </c>
      <c r="BQ48" s="257">
        <v>0</v>
      </c>
      <c r="BR48" s="257">
        <v>136.45815626171031</v>
      </c>
      <c r="BS48" s="460">
        <f t="shared" si="95"/>
        <v>1576.9267229475881</v>
      </c>
      <c r="BT48" s="465">
        <v>0</v>
      </c>
      <c r="BU48" s="257">
        <v>1971.48</v>
      </c>
      <c r="BV48" s="257">
        <v>0</v>
      </c>
      <c r="BW48" s="257">
        <v>1131.3523336103403</v>
      </c>
      <c r="BX48" s="257">
        <v>0</v>
      </c>
      <c r="BY48" s="257">
        <v>885.16679841325674</v>
      </c>
      <c r="BZ48" s="257">
        <v>0</v>
      </c>
      <c r="CA48" s="257">
        <v>1161.6731074079685</v>
      </c>
      <c r="CB48" s="462">
        <f t="shared" si="96"/>
        <v>5149.6722394315657</v>
      </c>
      <c r="CC48" s="463">
        <f t="shared" si="97"/>
        <v>6726.5989623791538</v>
      </c>
      <c r="CD48" s="343">
        <v>26</v>
      </c>
      <c r="CE48" s="462">
        <f t="shared" si="98"/>
        <v>12325.079999999987</v>
      </c>
      <c r="CF48" s="462">
        <f t="shared" si="99"/>
        <v>8857.3536914941105</v>
      </c>
      <c r="CG48" s="462">
        <f t="shared" si="100"/>
        <v>9402.6296172217171</v>
      </c>
      <c r="CH48" s="462">
        <f t="shared" si="101"/>
        <v>12203.533751765654</v>
      </c>
      <c r="CI48" s="464">
        <f t="shared" si="102"/>
        <v>42788.597060481472</v>
      </c>
      <c r="CJ48" s="462">
        <f t="shared" si="103"/>
        <v>54088.259999999995</v>
      </c>
      <c r="CK48" s="462">
        <f t="shared" si="104"/>
        <v>39773.407870251729</v>
      </c>
      <c r="CL48" s="462">
        <f t="shared" si="105"/>
        <v>42066.451992959199</v>
      </c>
      <c r="CM48" s="462">
        <f t="shared" si="106"/>
        <v>69228.435312440852</v>
      </c>
      <c r="CN48" s="464">
        <f t="shared" si="107"/>
        <v>205156.55517565174</v>
      </c>
      <c r="CO48" s="462">
        <f t="shared" si="108"/>
        <v>66413.339999999982</v>
      </c>
      <c r="CP48" s="462">
        <f t="shared" si="109"/>
        <v>48630.761561745836</v>
      </c>
      <c r="CQ48" s="462">
        <f t="shared" si="110"/>
        <v>51469.081610180911</v>
      </c>
      <c r="CR48" s="462">
        <f t="shared" si="111"/>
        <v>81431.969064206511</v>
      </c>
      <c r="CS48" s="464">
        <f t="shared" si="112"/>
        <v>247945.15223613323</v>
      </c>
      <c r="CT48" s="362"/>
    </row>
    <row r="49" spans="1:98" ht="15.75" customHeight="1" x14ac:dyDescent="0.25">
      <c r="A49" s="94" t="s">
        <v>229</v>
      </c>
      <c r="B49" s="343">
        <v>27</v>
      </c>
      <c r="C49" s="257">
        <v>0</v>
      </c>
      <c r="D49" s="257">
        <v>51313.059999999954</v>
      </c>
      <c r="E49" s="257">
        <v>32358.974564300388</v>
      </c>
      <c r="F49" s="257">
        <v>91759.679182638021</v>
      </c>
      <c r="G49" s="257">
        <v>29602.374171307823</v>
      </c>
      <c r="H49" s="257">
        <v>56922.26609882019</v>
      </c>
      <c r="I49" s="257">
        <v>9702.5549660804827</v>
      </c>
      <c r="J49" s="257">
        <v>36819.531441497842</v>
      </c>
      <c r="K49" s="460">
        <f t="shared" si="86"/>
        <v>308478.44042464474</v>
      </c>
      <c r="L49" s="465">
        <v>0</v>
      </c>
      <c r="M49" s="257">
        <v>4665.7800000000061</v>
      </c>
      <c r="N49" s="257">
        <v>0</v>
      </c>
      <c r="O49" s="257">
        <v>50655.160799891572</v>
      </c>
      <c r="P49" s="257">
        <v>0</v>
      </c>
      <c r="Q49" s="257">
        <v>18297.746933782037</v>
      </c>
      <c r="R49" s="257">
        <v>0</v>
      </c>
      <c r="S49" s="257">
        <v>73575.874375430081</v>
      </c>
      <c r="T49" s="462">
        <f t="shared" si="87"/>
        <v>147194.56210910369</v>
      </c>
      <c r="U49" s="463">
        <f t="shared" si="88"/>
        <v>455673.0025337484</v>
      </c>
      <c r="V49" s="343">
        <v>27</v>
      </c>
      <c r="W49" s="257">
        <v>0</v>
      </c>
      <c r="X49" s="257">
        <v>1055.9999999999989</v>
      </c>
      <c r="Y49" s="257">
        <v>0</v>
      </c>
      <c r="Z49" s="257">
        <v>0</v>
      </c>
      <c r="AA49" s="257">
        <v>0</v>
      </c>
      <c r="AB49" s="257">
        <v>0</v>
      </c>
      <c r="AC49" s="257">
        <v>0</v>
      </c>
      <c r="AD49" s="257">
        <v>0</v>
      </c>
      <c r="AE49" s="460">
        <f t="shared" si="89"/>
        <v>1055.9999999999989</v>
      </c>
      <c r="AF49" s="465">
        <v>0</v>
      </c>
      <c r="AG49" s="257">
        <v>11710</v>
      </c>
      <c r="AH49" s="257">
        <v>0</v>
      </c>
      <c r="AI49" s="257">
        <v>7369.444609868623</v>
      </c>
      <c r="AJ49" s="257">
        <v>0</v>
      </c>
      <c r="AK49" s="257">
        <v>0</v>
      </c>
      <c r="AL49" s="257">
        <v>0</v>
      </c>
      <c r="AM49" s="257">
        <v>0</v>
      </c>
      <c r="AN49" s="462">
        <f t="shared" si="90"/>
        <v>19079.444609868624</v>
      </c>
      <c r="AO49" s="463">
        <f t="shared" si="91"/>
        <v>20135.444609868624</v>
      </c>
      <c r="AP49" s="343">
        <v>27</v>
      </c>
      <c r="AQ49" s="257">
        <v>2765.9999999999973</v>
      </c>
      <c r="AR49" s="257">
        <v>67474.589999999924</v>
      </c>
      <c r="AS49" s="257">
        <v>6140.6403783210453</v>
      </c>
      <c r="AT49" s="257">
        <v>2089.9379497369791</v>
      </c>
      <c r="AU49" s="257">
        <v>0</v>
      </c>
      <c r="AV49" s="257">
        <v>6368.7561173492486</v>
      </c>
      <c r="AW49" s="257">
        <v>12051.189662193194</v>
      </c>
      <c r="AX49" s="257">
        <v>1230.6571121745762</v>
      </c>
      <c r="AY49" s="460">
        <f t="shared" si="92"/>
        <v>98121.771219774964</v>
      </c>
      <c r="AZ49" s="465">
        <v>0</v>
      </c>
      <c r="BA49" s="257">
        <v>114035</v>
      </c>
      <c r="BB49" s="257">
        <v>0</v>
      </c>
      <c r="BC49" s="257">
        <v>41756.964179392147</v>
      </c>
      <c r="BD49" s="257">
        <v>0</v>
      </c>
      <c r="BE49" s="257">
        <v>62728.67266397379</v>
      </c>
      <c r="BF49" s="257">
        <v>0</v>
      </c>
      <c r="BG49" s="257">
        <v>68807.800318365873</v>
      </c>
      <c r="BH49" s="462">
        <f t="shared" si="93"/>
        <v>287328.43716173182</v>
      </c>
      <c r="BI49" s="463">
        <f t="shared" si="94"/>
        <v>385450.20838150679</v>
      </c>
      <c r="BJ49" s="343">
        <v>27</v>
      </c>
      <c r="BK49" s="257">
        <v>51317.659999999938</v>
      </c>
      <c r="BL49" s="257">
        <v>392591.74999999959</v>
      </c>
      <c r="BM49" s="257">
        <v>50552.131842563656</v>
      </c>
      <c r="BN49" s="257">
        <v>307602.29838779912</v>
      </c>
      <c r="BO49" s="257">
        <v>44704.540333735946</v>
      </c>
      <c r="BP49" s="257">
        <v>338355.30680914677</v>
      </c>
      <c r="BQ49" s="257">
        <v>24967.438773873935</v>
      </c>
      <c r="BR49" s="257">
        <v>302086.01299667964</v>
      </c>
      <c r="BS49" s="460">
        <f t="shared" si="95"/>
        <v>1512177.1391437987</v>
      </c>
      <c r="BT49" s="465">
        <v>0</v>
      </c>
      <c r="BU49" s="257">
        <v>7242.1399999998976</v>
      </c>
      <c r="BV49" s="257">
        <v>0</v>
      </c>
      <c r="BW49" s="257">
        <v>37391.451280613619</v>
      </c>
      <c r="BX49" s="257">
        <v>0</v>
      </c>
      <c r="BY49" s="257">
        <v>1883.3679736474751</v>
      </c>
      <c r="BZ49" s="257">
        <v>0</v>
      </c>
      <c r="CA49" s="257">
        <v>24226.421349153676</v>
      </c>
      <c r="CB49" s="462">
        <f t="shared" si="96"/>
        <v>70743.380603414669</v>
      </c>
      <c r="CC49" s="463">
        <f t="shared" si="97"/>
        <v>1582920.5197472135</v>
      </c>
      <c r="CD49" s="343">
        <v>27</v>
      </c>
      <c r="CE49" s="462">
        <f t="shared" si="98"/>
        <v>566519.05999999936</v>
      </c>
      <c r="CF49" s="462">
        <f t="shared" si="99"/>
        <v>490503.6623053592</v>
      </c>
      <c r="CG49" s="462">
        <f t="shared" si="100"/>
        <v>475953.24353035999</v>
      </c>
      <c r="CH49" s="462">
        <f t="shared" si="101"/>
        <v>386857.38495249965</v>
      </c>
      <c r="CI49" s="464">
        <f t="shared" si="102"/>
        <v>1919833.3507882184</v>
      </c>
      <c r="CJ49" s="462">
        <f t="shared" si="103"/>
        <v>137652.9199999999</v>
      </c>
      <c r="CK49" s="462">
        <f t="shared" si="104"/>
        <v>137173.02086976595</v>
      </c>
      <c r="CL49" s="462">
        <f t="shared" si="105"/>
        <v>82909.7875714033</v>
      </c>
      <c r="CM49" s="462">
        <f t="shared" si="106"/>
        <v>166610.09604294965</v>
      </c>
      <c r="CN49" s="464">
        <f t="shared" si="107"/>
        <v>524345.82448411873</v>
      </c>
      <c r="CO49" s="462">
        <f t="shared" si="108"/>
        <v>704171.97999999928</v>
      </c>
      <c r="CP49" s="462">
        <f t="shared" si="109"/>
        <v>627676.68317512516</v>
      </c>
      <c r="CQ49" s="462">
        <f t="shared" si="110"/>
        <v>558863.03110176325</v>
      </c>
      <c r="CR49" s="462">
        <f t="shared" si="111"/>
        <v>553467.48099544924</v>
      </c>
      <c r="CS49" s="464">
        <f t="shared" si="112"/>
        <v>2444179.1752723372</v>
      </c>
      <c r="CT49" s="362"/>
    </row>
    <row r="50" spans="1:98" ht="15.75" customHeight="1" x14ac:dyDescent="0.25">
      <c r="A50" s="94" t="s">
        <v>1457</v>
      </c>
      <c r="B50" s="343">
        <v>28</v>
      </c>
      <c r="C50" s="257">
        <v>0</v>
      </c>
      <c r="D50" s="257">
        <v>12547.909999999987</v>
      </c>
      <c r="E50" s="257">
        <v>23878.710197667184</v>
      </c>
      <c r="F50" s="257">
        <v>113929.22113923891</v>
      </c>
      <c r="G50" s="257">
        <v>21381.540796619156</v>
      </c>
      <c r="H50" s="257">
        <v>138270.04021304566</v>
      </c>
      <c r="I50" s="257">
        <v>13050.555628873783</v>
      </c>
      <c r="J50" s="257">
        <v>112415.62065571989</v>
      </c>
      <c r="K50" s="460">
        <f t="shared" si="86"/>
        <v>435473.59863116452</v>
      </c>
      <c r="L50" s="465">
        <v>0</v>
      </c>
      <c r="M50" s="257">
        <v>0</v>
      </c>
      <c r="N50" s="257">
        <v>0</v>
      </c>
      <c r="O50" s="257">
        <v>0</v>
      </c>
      <c r="P50" s="257">
        <v>0</v>
      </c>
      <c r="Q50" s="257">
        <v>0</v>
      </c>
      <c r="R50" s="257">
        <v>0</v>
      </c>
      <c r="S50" s="257">
        <v>0</v>
      </c>
      <c r="T50" s="462">
        <f t="shared" si="87"/>
        <v>0</v>
      </c>
      <c r="U50" s="463">
        <f t="shared" si="88"/>
        <v>435473.59863116452</v>
      </c>
      <c r="V50" s="343">
        <v>28</v>
      </c>
      <c r="W50" s="257">
        <v>0</v>
      </c>
      <c r="X50" s="257">
        <v>0</v>
      </c>
      <c r="Y50" s="257">
        <v>0</v>
      </c>
      <c r="Z50" s="257">
        <v>284.72969311205236</v>
      </c>
      <c r="AA50" s="257">
        <v>0</v>
      </c>
      <c r="AB50" s="257">
        <v>0</v>
      </c>
      <c r="AC50" s="257">
        <v>0</v>
      </c>
      <c r="AD50" s="257">
        <v>0</v>
      </c>
      <c r="AE50" s="460">
        <f t="shared" si="89"/>
        <v>284.72969311205236</v>
      </c>
      <c r="AF50" s="465">
        <v>0</v>
      </c>
      <c r="AG50" s="257">
        <v>0</v>
      </c>
      <c r="AH50" s="257">
        <v>0</v>
      </c>
      <c r="AI50" s="257">
        <v>0</v>
      </c>
      <c r="AJ50" s="257">
        <v>0</v>
      </c>
      <c r="AK50" s="257">
        <v>0</v>
      </c>
      <c r="AL50" s="257">
        <v>0</v>
      </c>
      <c r="AM50" s="257">
        <v>0</v>
      </c>
      <c r="AN50" s="462">
        <f t="shared" si="90"/>
        <v>0</v>
      </c>
      <c r="AO50" s="463">
        <f t="shared" si="91"/>
        <v>284.72969311205236</v>
      </c>
      <c r="AP50" s="343">
        <v>28</v>
      </c>
      <c r="AQ50" s="257">
        <v>165955.29999999981</v>
      </c>
      <c r="AR50" s="257">
        <v>1135566.0799999984</v>
      </c>
      <c r="AS50" s="257">
        <v>146772.43620268907</v>
      </c>
      <c r="AT50" s="257">
        <v>1041115.7730363079</v>
      </c>
      <c r="AU50" s="257">
        <v>194588.29536826056</v>
      </c>
      <c r="AV50" s="257">
        <v>1162879.8021863988</v>
      </c>
      <c r="AW50" s="257">
        <v>237772.24432679845</v>
      </c>
      <c r="AX50" s="257">
        <v>1291879.2570256451</v>
      </c>
      <c r="AY50" s="460">
        <f t="shared" si="92"/>
        <v>5376529.1881460976</v>
      </c>
      <c r="AZ50" s="465">
        <v>0</v>
      </c>
      <c r="BA50" s="257">
        <v>0</v>
      </c>
      <c r="BB50" s="257">
        <v>0</v>
      </c>
      <c r="BC50" s="257">
        <v>0</v>
      </c>
      <c r="BD50" s="257">
        <v>0</v>
      </c>
      <c r="BE50" s="257">
        <v>0</v>
      </c>
      <c r="BF50" s="257">
        <v>0</v>
      </c>
      <c r="BG50" s="257">
        <v>0</v>
      </c>
      <c r="BH50" s="462">
        <f t="shared" si="93"/>
        <v>0</v>
      </c>
      <c r="BI50" s="463">
        <f t="shared" si="94"/>
        <v>5376529.1881460976</v>
      </c>
      <c r="BJ50" s="343">
        <v>28</v>
      </c>
      <c r="BK50" s="257">
        <v>0</v>
      </c>
      <c r="BL50" s="257">
        <v>18678.579999999984</v>
      </c>
      <c r="BM50" s="257">
        <v>0</v>
      </c>
      <c r="BN50" s="257">
        <v>0</v>
      </c>
      <c r="BO50" s="257">
        <v>0</v>
      </c>
      <c r="BP50" s="257">
        <v>3284.704417599361</v>
      </c>
      <c r="BQ50" s="257">
        <v>0</v>
      </c>
      <c r="BR50" s="257">
        <v>0</v>
      </c>
      <c r="BS50" s="460">
        <f t="shared" si="95"/>
        <v>21963.284417599345</v>
      </c>
      <c r="BT50" s="465">
        <v>0</v>
      </c>
      <c r="BU50" s="257">
        <v>0</v>
      </c>
      <c r="BV50" s="257">
        <v>0</v>
      </c>
      <c r="BW50" s="257">
        <v>0</v>
      </c>
      <c r="BX50" s="257">
        <v>0</v>
      </c>
      <c r="BY50" s="257">
        <v>0</v>
      </c>
      <c r="BZ50" s="257">
        <v>0</v>
      </c>
      <c r="CA50" s="257">
        <v>0</v>
      </c>
      <c r="CB50" s="462">
        <f t="shared" si="96"/>
        <v>0</v>
      </c>
      <c r="CC50" s="463">
        <f t="shared" si="97"/>
        <v>21963.284417599345</v>
      </c>
      <c r="CD50" s="343">
        <v>28</v>
      </c>
      <c r="CE50" s="462">
        <f t="shared" si="98"/>
        <v>1332747.8699999982</v>
      </c>
      <c r="CF50" s="462">
        <f t="shared" si="99"/>
        <v>1325980.870269015</v>
      </c>
      <c r="CG50" s="462">
        <f t="shared" si="100"/>
        <v>1520404.3829819234</v>
      </c>
      <c r="CH50" s="462">
        <f t="shared" si="101"/>
        <v>1655117.6776370374</v>
      </c>
      <c r="CI50" s="464">
        <f t="shared" si="102"/>
        <v>5834250.800887974</v>
      </c>
      <c r="CJ50" s="462">
        <f t="shared" si="103"/>
        <v>0</v>
      </c>
      <c r="CK50" s="462">
        <f t="shared" si="104"/>
        <v>0</v>
      </c>
      <c r="CL50" s="462">
        <f t="shared" si="105"/>
        <v>0</v>
      </c>
      <c r="CM50" s="462">
        <f t="shared" si="106"/>
        <v>0</v>
      </c>
      <c r="CN50" s="464">
        <f t="shared" si="107"/>
        <v>0</v>
      </c>
      <c r="CO50" s="462">
        <f t="shared" si="108"/>
        <v>1332747.8699999982</v>
      </c>
      <c r="CP50" s="462">
        <f t="shared" si="109"/>
        <v>1325980.870269015</v>
      </c>
      <c r="CQ50" s="462">
        <f t="shared" si="110"/>
        <v>1520404.3829819234</v>
      </c>
      <c r="CR50" s="462">
        <f t="shared" si="111"/>
        <v>1655117.6776370374</v>
      </c>
      <c r="CS50" s="464">
        <f t="shared" si="112"/>
        <v>5834250.800887974</v>
      </c>
      <c r="CT50" s="362"/>
    </row>
    <row r="51" spans="1:98" ht="15.75" customHeight="1" x14ac:dyDescent="0.25">
      <c r="A51" s="94" t="s">
        <v>463</v>
      </c>
      <c r="B51" s="343">
        <v>29</v>
      </c>
      <c r="C51" s="257">
        <v>0</v>
      </c>
      <c r="D51" s="257">
        <v>138.20999999999987</v>
      </c>
      <c r="E51" s="257">
        <v>0</v>
      </c>
      <c r="F51" s="257">
        <v>5631.4572780255094</v>
      </c>
      <c r="G51" s="257">
        <v>2038.4605808912897</v>
      </c>
      <c r="H51" s="257">
        <v>5165.8111304256417</v>
      </c>
      <c r="I51" s="257">
        <v>1063.7341597536422</v>
      </c>
      <c r="J51" s="257">
        <v>4979.6368296299206</v>
      </c>
      <c r="K51" s="460">
        <f t="shared" si="86"/>
        <v>19017.309978726003</v>
      </c>
      <c r="L51" s="465">
        <v>0</v>
      </c>
      <c r="M51" s="257">
        <v>2406.42</v>
      </c>
      <c r="N51" s="257">
        <v>0</v>
      </c>
      <c r="O51" s="257">
        <v>6714.0293202072335</v>
      </c>
      <c r="P51" s="257">
        <v>0</v>
      </c>
      <c r="Q51" s="257">
        <v>7951.174490557145</v>
      </c>
      <c r="R51" s="257">
        <v>0</v>
      </c>
      <c r="S51" s="257">
        <v>18082.433342976743</v>
      </c>
      <c r="T51" s="462">
        <f t="shared" si="87"/>
        <v>35154.057153741123</v>
      </c>
      <c r="U51" s="463">
        <f t="shared" si="88"/>
        <v>54171.36713246713</v>
      </c>
      <c r="V51" s="343">
        <v>29</v>
      </c>
      <c r="W51" s="257">
        <v>0</v>
      </c>
      <c r="X51" s="257">
        <v>0</v>
      </c>
      <c r="Y51" s="257">
        <v>0</v>
      </c>
      <c r="Z51" s="257">
        <v>0</v>
      </c>
      <c r="AA51" s="257">
        <v>406.87300287752493</v>
      </c>
      <c r="AB51" s="257">
        <v>0</v>
      </c>
      <c r="AC51" s="257">
        <v>0</v>
      </c>
      <c r="AD51" s="257">
        <v>0</v>
      </c>
      <c r="AE51" s="460">
        <f t="shared" si="89"/>
        <v>406.87300287752493</v>
      </c>
      <c r="AF51" s="465">
        <v>0</v>
      </c>
      <c r="AG51" s="257">
        <v>716.07999999999993</v>
      </c>
      <c r="AH51" s="257">
        <v>0</v>
      </c>
      <c r="AI51" s="257">
        <v>1196.3515354918156</v>
      </c>
      <c r="AJ51" s="257">
        <v>0</v>
      </c>
      <c r="AK51" s="257">
        <v>64.486468061223931</v>
      </c>
      <c r="AL51" s="257">
        <v>0</v>
      </c>
      <c r="AM51" s="257">
        <v>0</v>
      </c>
      <c r="AN51" s="462">
        <f t="shared" si="90"/>
        <v>1976.9180035530394</v>
      </c>
      <c r="AO51" s="463">
        <f t="shared" si="91"/>
        <v>2383.7910064305643</v>
      </c>
      <c r="AP51" s="343">
        <v>29</v>
      </c>
      <c r="AQ51" s="257">
        <v>6372.2699999999932</v>
      </c>
      <c r="AR51" s="257">
        <v>6880.3799999999928</v>
      </c>
      <c r="AS51" s="257">
        <v>5333.996257223549</v>
      </c>
      <c r="AT51" s="257">
        <v>7347.3462199618598</v>
      </c>
      <c r="AU51" s="257">
        <v>5496.1901662579467</v>
      </c>
      <c r="AV51" s="257">
        <v>14674.054292669736</v>
      </c>
      <c r="AW51" s="257">
        <v>5602.3453066349875</v>
      </c>
      <c r="AX51" s="257">
        <v>8005.1832093795056</v>
      </c>
      <c r="AY51" s="460">
        <f t="shared" si="92"/>
        <v>59711.765452127569</v>
      </c>
      <c r="AZ51" s="465">
        <v>0</v>
      </c>
      <c r="BA51" s="257">
        <v>48419.79</v>
      </c>
      <c r="BB51" s="257">
        <v>0</v>
      </c>
      <c r="BC51" s="257">
        <v>42811.23002111596</v>
      </c>
      <c r="BD51" s="257">
        <v>0</v>
      </c>
      <c r="BE51" s="257">
        <v>73370.645089218102</v>
      </c>
      <c r="BF51" s="257">
        <v>0</v>
      </c>
      <c r="BG51" s="257">
        <v>40516.118150701688</v>
      </c>
      <c r="BH51" s="462">
        <f t="shared" si="93"/>
        <v>205117.78326103574</v>
      </c>
      <c r="BI51" s="463">
        <f t="shared" si="94"/>
        <v>264829.5487131633</v>
      </c>
      <c r="BJ51" s="343">
        <v>29</v>
      </c>
      <c r="BK51" s="257">
        <v>419.16999999999956</v>
      </c>
      <c r="BL51" s="257">
        <v>523.79999999999939</v>
      </c>
      <c r="BM51" s="257">
        <v>670.88996393897764</v>
      </c>
      <c r="BN51" s="257">
        <v>7.890822896572157</v>
      </c>
      <c r="BO51" s="257">
        <v>0</v>
      </c>
      <c r="BP51" s="257">
        <v>0</v>
      </c>
      <c r="BQ51" s="257">
        <v>1146.0393813244027</v>
      </c>
      <c r="BR51" s="257">
        <v>0</v>
      </c>
      <c r="BS51" s="460">
        <f t="shared" si="95"/>
        <v>2767.7901681599515</v>
      </c>
      <c r="BT51" s="465">
        <v>0</v>
      </c>
      <c r="BU51" s="257">
        <v>2095.8500000000004</v>
      </c>
      <c r="BV51" s="257">
        <v>0</v>
      </c>
      <c r="BW51" s="257">
        <v>830.01059040490452</v>
      </c>
      <c r="BX51" s="257">
        <v>0</v>
      </c>
      <c r="BY51" s="257">
        <v>894.93656352316987</v>
      </c>
      <c r="BZ51" s="257">
        <v>0</v>
      </c>
      <c r="CA51" s="257">
        <v>1331.1030998662636</v>
      </c>
      <c r="CB51" s="462">
        <f t="shared" si="96"/>
        <v>5151.9002537943379</v>
      </c>
      <c r="CC51" s="463">
        <f t="shared" si="97"/>
        <v>7919.6904219542894</v>
      </c>
      <c r="CD51" s="343">
        <v>29</v>
      </c>
      <c r="CE51" s="462">
        <f t="shared" si="98"/>
        <v>14333.829999999985</v>
      </c>
      <c r="CF51" s="462">
        <f t="shared" si="99"/>
        <v>18991.580542046471</v>
      </c>
      <c r="CG51" s="462">
        <f t="shared" si="100"/>
        <v>27781.389173122137</v>
      </c>
      <c r="CH51" s="462">
        <f t="shared" si="101"/>
        <v>20796.938886722455</v>
      </c>
      <c r="CI51" s="464">
        <f t="shared" si="102"/>
        <v>81903.738601891047</v>
      </c>
      <c r="CJ51" s="462">
        <f t="shared" si="103"/>
        <v>53638.14</v>
      </c>
      <c r="CK51" s="462">
        <f t="shared" si="104"/>
        <v>51551.621467219913</v>
      </c>
      <c r="CL51" s="462">
        <f t="shared" si="105"/>
        <v>82281.24261135963</v>
      </c>
      <c r="CM51" s="462">
        <f t="shared" si="106"/>
        <v>59929.654593544692</v>
      </c>
      <c r="CN51" s="464">
        <f t="shared" si="107"/>
        <v>247400.65867212423</v>
      </c>
      <c r="CO51" s="462">
        <f t="shared" si="108"/>
        <v>67971.969999999987</v>
      </c>
      <c r="CP51" s="462">
        <f t="shared" si="109"/>
        <v>70543.202009266373</v>
      </c>
      <c r="CQ51" s="462">
        <f t="shared" si="110"/>
        <v>110062.63178448178</v>
      </c>
      <c r="CR51" s="462">
        <f t="shared" si="111"/>
        <v>80726.59348026714</v>
      </c>
      <c r="CS51" s="464">
        <f t="shared" si="112"/>
        <v>329304.39727401524</v>
      </c>
      <c r="CT51" s="362"/>
    </row>
    <row r="52" spans="1:98" ht="15.75" customHeight="1" x14ac:dyDescent="0.25">
      <c r="A52" s="94" t="s">
        <v>1458</v>
      </c>
      <c r="B52" s="343">
        <v>30</v>
      </c>
      <c r="C52" s="257">
        <v>5661.2199999999948</v>
      </c>
      <c r="D52" s="257">
        <v>10116.61999999999</v>
      </c>
      <c r="E52" s="257">
        <v>41690.607716154627</v>
      </c>
      <c r="F52" s="257">
        <v>31458.600668568324</v>
      </c>
      <c r="G52" s="257">
        <v>28724.080435277414</v>
      </c>
      <c r="H52" s="257">
        <v>23363.544644142075</v>
      </c>
      <c r="I52" s="257">
        <v>25068.957931240173</v>
      </c>
      <c r="J52" s="257">
        <v>23695.337473657019</v>
      </c>
      <c r="K52" s="460">
        <f t="shared" si="86"/>
        <v>189778.96886903961</v>
      </c>
      <c r="L52" s="465">
        <v>0</v>
      </c>
      <c r="M52" s="257">
        <v>0</v>
      </c>
      <c r="N52" s="257">
        <v>0</v>
      </c>
      <c r="O52" s="257">
        <v>0</v>
      </c>
      <c r="P52" s="257">
        <v>0</v>
      </c>
      <c r="Q52" s="257">
        <v>0</v>
      </c>
      <c r="R52" s="257">
        <v>0</v>
      </c>
      <c r="S52" s="257">
        <v>0</v>
      </c>
      <c r="T52" s="462">
        <f t="shared" si="87"/>
        <v>0</v>
      </c>
      <c r="U52" s="463">
        <f t="shared" si="88"/>
        <v>189778.96886903961</v>
      </c>
      <c r="V52" s="343">
        <v>30</v>
      </c>
      <c r="W52" s="257">
        <v>0</v>
      </c>
      <c r="X52" s="257">
        <v>0</v>
      </c>
      <c r="Y52" s="257">
        <v>0</v>
      </c>
      <c r="Z52" s="257">
        <v>266.647807437778</v>
      </c>
      <c r="AA52" s="257">
        <v>0</v>
      </c>
      <c r="AB52" s="257">
        <v>0</v>
      </c>
      <c r="AC52" s="257">
        <v>0</v>
      </c>
      <c r="AD52" s="257">
        <v>0</v>
      </c>
      <c r="AE52" s="460">
        <f t="shared" si="89"/>
        <v>266.647807437778</v>
      </c>
      <c r="AF52" s="465">
        <v>0</v>
      </c>
      <c r="AG52" s="257">
        <v>0</v>
      </c>
      <c r="AH52" s="257">
        <v>0</v>
      </c>
      <c r="AI52" s="257">
        <v>0</v>
      </c>
      <c r="AJ52" s="257">
        <v>0</v>
      </c>
      <c r="AK52" s="257">
        <v>0</v>
      </c>
      <c r="AL52" s="257">
        <v>0</v>
      </c>
      <c r="AM52" s="257">
        <v>0</v>
      </c>
      <c r="AN52" s="462">
        <f t="shared" si="90"/>
        <v>0</v>
      </c>
      <c r="AO52" s="463">
        <f t="shared" si="91"/>
        <v>266.647807437778</v>
      </c>
      <c r="AP52" s="343">
        <v>30</v>
      </c>
      <c r="AQ52" s="257">
        <v>172346.45999999982</v>
      </c>
      <c r="AR52" s="257">
        <v>408300.35999999946</v>
      </c>
      <c r="AS52" s="257">
        <v>151862.94706797352</v>
      </c>
      <c r="AT52" s="257">
        <v>424580.1674561011</v>
      </c>
      <c r="AU52" s="257">
        <v>183335.18065769473</v>
      </c>
      <c r="AV52" s="257">
        <v>489956.91667212307</v>
      </c>
      <c r="AW52" s="257">
        <v>224356.87527751501</v>
      </c>
      <c r="AX52" s="257">
        <v>572777.57094064669</v>
      </c>
      <c r="AY52" s="460">
        <f t="shared" si="92"/>
        <v>2627516.4780720538</v>
      </c>
      <c r="AZ52" s="465">
        <v>0</v>
      </c>
      <c r="BA52" s="257">
        <v>0</v>
      </c>
      <c r="BB52" s="257">
        <v>0</v>
      </c>
      <c r="BC52" s="257">
        <v>0</v>
      </c>
      <c r="BD52" s="257">
        <v>0</v>
      </c>
      <c r="BE52" s="257">
        <v>0</v>
      </c>
      <c r="BF52" s="257">
        <v>0</v>
      </c>
      <c r="BG52" s="257">
        <v>0</v>
      </c>
      <c r="BH52" s="462">
        <f t="shared" si="93"/>
        <v>0</v>
      </c>
      <c r="BI52" s="463">
        <f t="shared" si="94"/>
        <v>2627516.4780720538</v>
      </c>
      <c r="BJ52" s="343">
        <v>30</v>
      </c>
      <c r="BK52" s="257">
        <v>0</v>
      </c>
      <c r="BL52" s="257">
        <v>0</v>
      </c>
      <c r="BM52" s="257">
        <v>0</v>
      </c>
      <c r="BN52" s="257">
        <v>0</v>
      </c>
      <c r="BO52" s="257">
        <v>0</v>
      </c>
      <c r="BP52" s="257">
        <v>0</v>
      </c>
      <c r="BQ52" s="257">
        <v>0</v>
      </c>
      <c r="BR52" s="257">
        <v>1055.7107579928961</v>
      </c>
      <c r="BS52" s="460">
        <f t="shared" si="95"/>
        <v>1055.7107579928961</v>
      </c>
      <c r="BT52" s="465">
        <v>0</v>
      </c>
      <c r="BU52" s="257">
        <v>0</v>
      </c>
      <c r="BV52" s="257">
        <v>0</v>
      </c>
      <c r="BW52" s="257">
        <v>0</v>
      </c>
      <c r="BX52" s="257">
        <v>0</v>
      </c>
      <c r="BY52" s="257">
        <v>0</v>
      </c>
      <c r="BZ52" s="257">
        <v>0</v>
      </c>
      <c r="CA52" s="257">
        <v>0</v>
      </c>
      <c r="CB52" s="462">
        <f t="shared" si="96"/>
        <v>0</v>
      </c>
      <c r="CC52" s="463">
        <f t="shared" si="97"/>
        <v>1055.7107579928961</v>
      </c>
      <c r="CD52" s="343">
        <v>30</v>
      </c>
      <c r="CE52" s="462">
        <f t="shared" si="98"/>
        <v>596424.65999999922</v>
      </c>
      <c r="CF52" s="462">
        <f t="shared" si="99"/>
        <v>649858.97071623534</v>
      </c>
      <c r="CG52" s="462">
        <f t="shared" si="100"/>
        <v>725379.72240923729</v>
      </c>
      <c r="CH52" s="462">
        <f t="shared" si="101"/>
        <v>846954.45238105184</v>
      </c>
      <c r="CI52" s="464">
        <f t="shared" si="102"/>
        <v>2818617.8055065237</v>
      </c>
      <c r="CJ52" s="462">
        <f t="shared" si="103"/>
        <v>0</v>
      </c>
      <c r="CK52" s="462">
        <f t="shared" si="104"/>
        <v>0</v>
      </c>
      <c r="CL52" s="462">
        <f t="shared" si="105"/>
        <v>0</v>
      </c>
      <c r="CM52" s="462">
        <f t="shared" si="106"/>
        <v>0</v>
      </c>
      <c r="CN52" s="464">
        <f t="shared" si="107"/>
        <v>0</v>
      </c>
      <c r="CO52" s="462">
        <f t="shared" si="108"/>
        <v>596424.65999999922</v>
      </c>
      <c r="CP52" s="462">
        <f t="shared" si="109"/>
        <v>649858.97071623534</v>
      </c>
      <c r="CQ52" s="462">
        <f t="shared" si="110"/>
        <v>725379.72240923729</v>
      </c>
      <c r="CR52" s="462">
        <f t="shared" si="111"/>
        <v>846954.45238105184</v>
      </c>
      <c r="CS52" s="464">
        <f t="shared" si="112"/>
        <v>2818617.8055065242</v>
      </c>
      <c r="CT52" s="362"/>
    </row>
    <row r="53" spans="1:98" ht="15.75" customHeight="1" x14ac:dyDescent="0.25">
      <c r="A53" s="94" t="s">
        <v>430</v>
      </c>
      <c r="B53" s="343">
        <v>31</v>
      </c>
      <c r="C53" s="257">
        <v>2451.2999999999975</v>
      </c>
      <c r="D53" s="257">
        <v>11487.93999999999</v>
      </c>
      <c r="E53" s="257">
        <v>62981.24801626167</v>
      </c>
      <c r="F53" s="257">
        <v>30099.318915507854</v>
      </c>
      <c r="G53" s="257">
        <v>49268.473419493435</v>
      </c>
      <c r="H53" s="257">
        <v>30836.17109074437</v>
      </c>
      <c r="I53" s="257">
        <v>27935.594705941396</v>
      </c>
      <c r="J53" s="257">
        <v>21122.902151237977</v>
      </c>
      <c r="K53" s="460">
        <f t="shared" si="86"/>
        <v>236182.94829918668</v>
      </c>
      <c r="L53" s="465">
        <v>0</v>
      </c>
      <c r="M53" s="257">
        <v>0</v>
      </c>
      <c r="N53" s="257">
        <v>0</v>
      </c>
      <c r="O53" s="257">
        <v>0</v>
      </c>
      <c r="P53" s="257">
        <v>0</v>
      </c>
      <c r="Q53" s="257">
        <v>0</v>
      </c>
      <c r="R53" s="257">
        <v>0</v>
      </c>
      <c r="S53" s="257">
        <v>0</v>
      </c>
      <c r="T53" s="462">
        <f t="shared" si="87"/>
        <v>0</v>
      </c>
      <c r="U53" s="463">
        <f t="shared" si="88"/>
        <v>236182.94829918668</v>
      </c>
      <c r="V53" s="343">
        <v>31</v>
      </c>
      <c r="W53" s="257">
        <v>326.87999999999965</v>
      </c>
      <c r="X53" s="257">
        <v>554.99999999999943</v>
      </c>
      <c r="Y53" s="257">
        <v>0</v>
      </c>
      <c r="Z53" s="257">
        <v>150.01564442152389</v>
      </c>
      <c r="AA53" s="257">
        <v>0</v>
      </c>
      <c r="AB53" s="257">
        <v>150.20415050115363</v>
      </c>
      <c r="AC53" s="257">
        <v>0</v>
      </c>
      <c r="AD53" s="257">
        <v>0</v>
      </c>
      <c r="AE53" s="460">
        <f t="shared" si="89"/>
        <v>1182.0997949226767</v>
      </c>
      <c r="AF53" s="465">
        <v>0</v>
      </c>
      <c r="AG53" s="257">
        <v>0</v>
      </c>
      <c r="AH53" s="257">
        <v>0</v>
      </c>
      <c r="AI53" s="257">
        <v>0</v>
      </c>
      <c r="AJ53" s="257">
        <v>0</v>
      </c>
      <c r="AK53" s="257">
        <v>0</v>
      </c>
      <c r="AL53" s="257">
        <v>0</v>
      </c>
      <c r="AM53" s="257">
        <v>0</v>
      </c>
      <c r="AN53" s="462">
        <f t="shared" si="90"/>
        <v>0</v>
      </c>
      <c r="AO53" s="463">
        <f t="shared" si="91"/>
        <v>1182.0997949226767</v>
      </c>
      <c r="AP53" s="343">
        <v>31</v>
      </c>
      <c r="AQ53" s="257">
        <v>468043.99999999953</v>
      </c>
      <c r="AR53" s="257">
        <v>246102.00999999972</v>
      </c>
      <c r="AS53" s="257">
        <v>402400.66446071072</v>
      </c>
      <c r="AT53" s="257">
        <v>254004.9089697364</v>
      </c>
      <c r="AU53" s="257">
        <v>530304.84570223314</v>
      </c>
      <c r="AV53" s="257">
        <v>255451.86830818091</v>
      </c>
      <c r="AW53" s="257">
        <v>576363.4584275746</v>
      </c>
      <c r="AX53" s="257">
        <v>292030.82047426479</v>
      </c>
      <c r="AY53" s="460">
        <f t="shared" si="92"/>
        <v>3024702.5763426996</v>
      </c>
      <c r="AZ53" s="465">
        <v>0</v>
      </c>
      <c r="BA53" s="257">
        <v>0</v>
      </c>
      <c r="BB53" s="257">
        <v>0</v>
      </c>
      <c r="BC53" s="257">
        <v>0</v>
      </c>
      <c r="BD53" s="257">
        <v>0</v>
      </c>
      <c r="BE53" s="257">
        <v>0</v>
      </c>
      <c r="BF53" s="257">
        <v>0</v>
      </c>
      <c r="BG53" s="257">
        <v>0</v>
      </c>
      <c r="BH53" s="462">
        <f t="shared" si="93"/>
        <v>0</v>
      </c>
      <c r="BI53" s="463">
        <f t="shared" si="94"/>
        <v>3024702.5763426996</v>
      </c>
      <c r="BJ53" s="343">
        <v>31</v>
      </c>
      <c r="BK53" s="257">
        <v>0</v>
      </c>
      <c r="BL53" s="257">
        <v>0</v>
      </c>
      <c r="BM53" s="257">
        <v>0</v>
      </c>
      <c r="BN53" s="257">
        <v>0</v>
      </c>
      <c r="BO53" s="257">
        <v>0</v>
      </c>
      <c r="BP53" s="257">
        <v>0</v>
      </c>
      <c r="BQ53" s="257">
        <v>0</v>
      </c>
      <c r="BR53" s="257">
        <v>0</v>
      </c>
      <c r="BS53" s="460">
        <f t="shared" si="95"/>
        <v>0</v>
      </c>
      <c r="BT53" s="465">
        <v>0</v>
      </c>
      <c r="BU53" s="257">
        <v>0</v>
      </c>
      <c r="BV53" s="257">
        <v>0</v>
      </c>
      <c r="BW53" s="257">
        <v>0</v>
      </c>
      <c r="BX53" s="257">
        <v>0</v>
      </c>
      <c r="BY53" s="257">
        <v>0</v>
      </c>
      <c r="BZ53" s="257">
        <v>0</v>
      </c>
      <c r="CA53" s="257">
        <v>0</v>
      </c>
      <c r="CB53" s="462">
        <f t="shared" si="96"/>
        <v>0</v>
      </c>
      <c r="CC53" s="463">
        <f t="shared" si="97"/>
        <v>0</v>
      </c>
      <c r="CD53" s="343">
        <v>31</v>
      </c>
      <c r="CE53" s="462">
        <f t="shared" si="98"/>
        <v>728967.12999999919</v>
      </c>
      <c r="CF53" s="462">
        <f t="shared" si="99"/>
        <v>749636.15600663819</v>
      </c>
      <c r="CG53" s="462">
        <f t="shared" si="100"/>
        <v>866011.56267115311</v>
      </c>
      <c r="CH53" s="462">
        <f t="shared" si="101"/>
        <v>917452.77575901872</v>
      </c>
      <c r="CI53" s="464">
        <f t="shared" si="102"/>
        <v>3262067.6244368088</v>
      </c>
      <c r="CJ53" s="462">
        <f t="shared" si="103"/>
        <v>0</v>
      </c>
      <c r="CK53" s="462">
        <f t="shared" si="104"/>
        <v>0</v>
      </c>
      <c r="CL53" s="462">
        <f t="shared" si="105"/>
        <v>0</v>
      </c>
      <c r="CM53" s="462">
        <f t="shared" si="106"/>
        <v>0</v>
      </c>
      <c r="CN53" s="464">
        <f t="shared" si="107"/>
        <v>0</v>
      </c>
      <c r="CO53" s="462">
        <f t="shared" si="108"/>
        <v>728967.12999999919</v>
      </c>
      <c r="CP53" s="462">
        <f t="shared" si="109"/>
        <v>749636.15600663819</v>
      </c>
      <c r="CQ53" s="462">
        <f t="shared" si="110"/>
        <v>866011.56267115311</v>
      </c>
      <c r="CR53" s="462">
        <f t="shared" si="111"/>
        <v>917452.77575901872</v>
      </c>
      <c r="CS53" s="464">
        <f t="shared" si="112"/>
        <v>3262067.6244368092</v>
      </c>
      <c r="CT53" s="362"/>
    </row>
    <row r="54" spans="1:98" ht="15.75" customHeight="1" x14ac:dyDescent="0.25">
      <c r="A54" s="94" t="s">
        <v>453</v>
      </c>
      <c r="B54" s="343">
        <v>32</v>
      </c>
      <c r="C54" s="257">
        <v>0</v>
      </c>
      <c r="D54" s="257">
        <v>0</v>
      </c>
      <c r="E54" s="257">
        <v>0</v>
      </c>
      <c r="F54" s="257">
        <v>0</v>
      </c>
      <c r="G54" s="257">
        <v>0</v>
      </c>
      <c r="H54" s="257">
        <v>0</v>
      </c>
      <c r="I54" s="257">
        <v>0</v>
      </c>
      <c r="J54" s="257">
        <v>0</v>
      </c>
      <c r="K54" s="460">
        <f t="shared" si="86"/>
        <v>0</v>
      </c>
      <c r="L54" s="465">
        <v>0</v>
      </c>
      <c r="M54" s="257">
        <v>0</v>
      </c>
      <c r="N54" s="257">
        <v>0</v>
      </c>
      <c r="O54" s="257">
        <v>0</v>
      </c>
      <c r="P54" s="257">
        <v>0</v>
      </c>
      <c r="Q54" s="257">
        <v>0</v>
      </c>
      <c r="R54" s="257">
        <v>0</v>
      </c>
      <c r="S54" s="257">
        <v>0</v>
      </c>
      <c r="T54" s="462">
        <f t="shared" si="87"/>
        <v>0</v>
      </c>
      <c r="U54" s="463">
        <f t="shared" si="88"/>
        <v>0</v>
      </c>
      <c r="V54" s="343">
        <v>32</v>
      </c>
      <c r="W54" s="257">
        <v>0</v>
      </c>
      <c r="X54" s="257">
        <v>0</v>
      </c>
      <c r="Y54" s="257">
        <v>0</v>
      </c>
      <c r="Z54" s="257">
        <v>0</v>
      </c>
      <c r="AA54" s="257">
        <v>0</v>
      </c>
      <c r="AB54" s="257">
        <v>0</v>
      </c>
      <c r="AC54" s="257">
        <v>0</v>
      </c>
      <c r="AD54" s="257">
        <v>0</v>
      </c>
      <c r="AE54" s="460">
        <f t="shared" si="89"/>
        <v>0</v>
      </c>
      <c r="AF54" s="465">
        <v>0</v>
      </c>
      <c r="AG54" s="257">
        <v>0</v>
      </c>
      <c r="AH54" s="257">
        <v>0</v>
      </c>
      <c r="AI54" s="257">
        <v>0</v>
      </c>
      <c r="AJ54" s="257">
        <v>0</v>
      </c>
      <c r="AK54" s="257">
        <v>0</v>
      </c>
      <c r="AL54" s="257">
        <v>0</v>
      </c>
      <c r="AM54" s="257">
        <v>0</v>
      </c>
      <c r="AN54" s="462">
        <f t="shared" si="90"/>
        <v>0</v>
      </c>
      <c r="AO54" s="463">
        <f t="shared" si="91"/>
        <v>0</v>
      </c>
      <c r="AP54" s="343">
        <v>32</v>
      </c>
      <c r="AQ54" s="257">
        <v>0</v>
      </c>
      <c r="AR54" s="257">
        <v>0</v>
      </c>
      <c r="AS54" s="257">
        <v>0</v>
      </c>
      <c r="AT54" s="257">
        <v>0</v>
      </c>
      <c r="AU54" s="257">
        <v>0</v>
      </c>
      <c r="AV54" s="257">
        <v>0</v>
      </c>
      <c r="AW54" s="257">
        <v>0</v>
      </c>
      <c r="AX54" s="257">
        <v>0</v>
      </c>
      <c r="AY54" s="460">
        <f t="shared" si="92"/>
        <v>0</v>
      </c>
      <c r="AZ54" s="465">
        <v>0</v>
      </c>
      <c r="BA54" s="257">
        <v>0</v>
      </c>
      <c r="BB54" s="257">
        <v>0</v>
      </c>
      <c r="BC54" s="257">
        <v>0</v>
      </c>
      <c r="BD54" s="257">
        <v>0</v>
      </c>
      <c r="BE54" s="257">
        <v>0</v>
      </c>
      <c r="BF54" s="257">
        <v>0</v>
      </c>
      <c r="BG54" s="257">
        <v>0</v>
      </c>
      <c r="BH54" s="462">
        <f t="shared" si="93"/>
        <v>0</v>
      </c>
      <c r="BI54" s="463">
        <f t="shared" si="94"/>
        <v>0</v>
      </c>
      <c r="BJ54" s="343">
        <v>32</v>
      </c>
      <c r="BK54" s="257">
        <v>0</v>
      </c>
      <c r="BL54" s="257">
        <v>0</v>
      </c>
      <c r="BM54" s="257">
        <v>0</v>
      </c>
      <c r="BN54" s="257">
        <v>0</v>
      </c>
      <c r="BO54" s="257">
        <v>0</v>
      </c>
      <c r="BP54" s="257">
        <v>0</v>
      </c>
      <c r="BQ54" s="257">
        <v>0</v>
      </c>
      <c r="BR54" s="257">
        <v>0</v>
      </c>
      <c r="BS54" s="460">
        <f t="shared" si="95"/>
        <v>0</v>
      </c>
      <c r="BT54" s="465">
        <v>0</v>
      </c>
      <c r="BU54" s="257">
        <v>0</v>
      </c>
      <c r="BV54" s="257">
        <v>0</v>
      </c>
      <c r="BW54" s="257">
        <v>0</v>
      </c>
      <c r="BX54" s="257">
        <v>0</v>
      </c>
      <c r="BY54" s="257">
        <v>0</v>
      </c>
      <c r="BZ54" s="257">
        <v>0</v>
      </c>
      <c r="CA54" s="257">
        <v>0</v>
      </c>
      <c r="CB54" s="462">
        <f t="shared" si="96"/>
        <v>0</v>
      </c>
      <c r="CC54" s="463">
        <f t="shared" si="97"/>
        <v>0</v>
      </c>
      <c r="CD54" s="343">
        <v>32</v>
      </c>
      <c r="CE54" s="462">
        <f t="shared" si="98"/>
        <v>0</v>
      </c>
      <c r="CF54" s="462">
        <f t="shared" si="99"/>
        <v>0</v>
      </c>
      <c r="CG54" s="462">
        <f t="shared" si="100"/>
        <v>0</v>
      </c>
      <c r="CH54" s="462">
        <f t="shared" si="101"/>
        <v>0</v>
      </c>
      <c r="CI54" s="464">
        <f t="shared" si="102"/>
        <v>0</v>
      </c>
      <c r="CJ54" s="462">
        <f t="shared" si="103"/>
        <v>0</v>
      </c>
      <c r="CK54" s="462">
        <f t="shared" si="104"/>
        <v>0</v>
      </c>
      <c r="CL54" s="462">
        <f t="shared" si="105"/>
        <v>0</v>
      </c>
      <c r="CM54" s="462">
        <f t="shared" si="106"/>
        <v>0</v>
      </c>
      <c r="CN54" s="464">
        <f t="shared" si="107"/>
        <v>0</v>
      </c>
      <c r="CO54" s="462">
        <f t="shared" si="108"/>
        <v>0</v>
      </c>
      <c r="CP54" s="462">
        <f t="shared" si="109"/>
        <v>0</v>
      </c>
      <c r="CQ54" s="462">
        <f t="shared" si="110"/>
        <v>0</v>
      </c>
      <c r="CR54" s="462">
        <f t="shared" si="111"/>
        <v>0</v>
      </c>
      <c r="CS54" s="464">
        <f t="shared" si="112"/>
        <v>0</v>
      </c>
      <c r="CT54" s="362"/>
    </row>
    <row r="55" spans="1:98" ht="15.75" customHeight="1" x14ac:dyDescent="0.25">
      <c r="A55" s="94" t="s">
        <v>1459</v>
      </c>
      <c r="B55" s="343">
        <v>33</v>
      </c>
      <c r="C55" s="257">
        <v>594.45999999999947</v>
      </c>
      <c r="D55" s="257">
        <v>22265.799999999974</v>
      </c>
      <c r="E55" s="257">
        <v>5306.0233400604166</v>
      </c>
      <c r="F55" s="257">
        <v>69279.97488067417</v>
      </c>
      <c r="G55" s="257">
        <v>7251.0352701729571</v>
      </c>
      <c r="H55" s="257">
        <v>71590.602620160877</v>
      </c>
      <c r="I55" s="257">
        <v>13103.502036984171</v>
      </c>
      <c r="J55" s="257">
        <v>56051.042307492091</v>
      </c>
      <c r="K55" s="460">
        <f t="shared" si="86"/>
        <v>245442.44045554462</v>
      </c>
      <c r="L55" s="465">
        <v>0</v>
      </c>
      <c r="M55" s="257">
        <v>3600.619999999999</v>
      </c>
      <c r="N55" s="257">
        <v>0</v>
      </c>
      <c r="O55" s="257">
        <v>16291.905864691025</v>
      </c>
      <c r="P55" s="257">
        <v>0</v>
      </c>
      <c r="Q55" s="257">
        <v>13000.909293543955</v>
      </c>
      <c r="R55" s="257">
        <v>0</v>
      </c>
      <c r="S55" s="257">
        <v>9490.2278357985579</v>
      </c>
      <c r="T55" s="462">
        <f t="shared" si="87"/>
        <v>42383.662994033533</v>
      </c>
      <c r="U55" s="463">
        <f t="shared" si="88"/>
        <v>287826.10344957816</v>
      </c>
      <c r="V55" s="343">
        <v>33</v>
      </c>
      <c r="W55" s="257">
        <v>998.08999999999889</v>
      </c>
      <c r="X55" s="257">
        <v>12518.379999999988</v>
      </c>
      <c r="Y55" s="257">
        <v>1004.5647613042927</v>
      </c>
      <c r="Z55" s="257">
        <v>11391.277942461036</v>
      </c>
      <c r="AA55" s="257">
        <v>5042.2932506635261</v>
      </c>
      <c r="AB55" s="257">
        <v>9226.5703256142951</v>
      </c>
      <c r="AC55" s="257">
        <v>3196.3402716164924</v>
      </c>
      <c r="AD55" s="257">
        <v>11035.304335747058</v>
      </c>
      <c r="AE55" s="460">
        <f t="shared" si="89"/>
        <v>54412.820887406691</v>
      </c>
      <c r="AF55" s="465">
        <v>0</v>
      </c>
      <c r="AG55" s="257">
        <v>1830.1399999999992</v>
      </c>
      <c r="AH55" s="257">
        <v>0</v>
      </c>
      <c r="AI55" s="257">
        <v>3771.3645600284744</v>
      </c>
      <c r="AJ55" s="257">
        <v>0</v>
      </c>
      <c r="AK55" s="257">
        <v>2313.187485685346</v>
      </c>
      <c r="AL55" s="257">
        <v>0</v>
      </c>
      <c r="AM55" s="257">
        <v>2478.9083437329405</v>
      </c>
      <c r="AN55" s="462">
        <f t="shared" si="90"/>
        <v>10393.600389446761</v>
      </c>
      <c r="AO55" s="463">
        <f t="shared" si="91"/>
        <v>64806.421276853449</v>
      </c>
      <c r="AP55" s="343">
        <v>33</v>
      </c>
      <c r="AQ55" s="257">
        <v>11602.109999999986</v>
      </c>
      <c r="AR55" s="257">
        <v>262707.13999999972</v>
      </c>
      <c r="AS55" s="257">
        <v>11657.015654989324</v>
      </c>
      <c r="AT55" s="257">
        <v>246783.37587022927</v>
      </c>
      <c r="AU55" s="257">
        <v>19580.833358751126</v>
      </c>
      <c r="AV55" s="257">
        <v>269582.99467844906</v>
      </c>
      <c r="AW55" s="257">
        <v>18520.967253924173</v>
      </c>
      <c r="AX55" s="257">
        <v>284839.85167339037</v>
      </c>
      <c r="AY55" s="460">
        <f t="shared" si="92"/>
        <v>1125274.2884897329</v>
      </c>
      <c r="AZ55" s="465">
        <v>0</v>
      </c>
      <c r="BA55" s="257">
        <v>87355.030000000086</v>
      </c>
      <c r="BB55" s="257">
        <v>0</v>
      </c>
      <c r="BC55" s="257">
        <v>75017.243895597174</v>
      </c>
      <c r="BD55" s="257">
        <v>0</v>
      </c>
      <c r="BE55" s="257">
        <v>80948.291568555709</v>
      </c>
      <c r="BF55" s="257">
        <v>0</v>
      </c>
      <c r="BG55" s="257">
        <v>109793.54988574865</v>
      </c>
      <c r="BH55" s="462">
        <f t="shared" si="93"/>
        <v>353114.11534990161</v>
      </c>
      <c r="BI55" s="463">
        <f t="shared" si="94"/>
        <v>1478388.4038396345</v>
      </c>
      <c r="BJ55" s="343">
        <v>33</v>
      </c>
      <c r="BK55" s="257">
        <v>232.43999999999977</v>
      </c>
      <c r="BL55" s="257">
        <v>554.61999999999932</v>
      </c>
      <c r="BM55" s="257">
        <v>0</v>
      </c>
      <c r="BN55" s="257">
        <v>158.93657474312383</v>
      </c>
      <c r="BO55" s="257">
        <v>377.23271717863065</v>
      </c>
      <c r="BP55" s="257">
        <v>901.50528408785715</v>
      </c>
      <c r="BQ55" s="257">
        <v>0</v>
      </c>
      <c r="BR55" s="257">
        <v>345.62964777870292</v>
      </c>
      <c r="BS55" s="460">
        <f t="shared" si="95"/>
        <v>2570.3642237883132</v>
      </c>
      <c r="BT55" s="465">
        <v>0</v>
      </c>
      <c r="BU55" s="257">
        <v>456.46</v>
      </c>
      <c r="BV55" s="257">
        <v>0</v>
      </c>
      <c r="BW55" s="257">
        <v>625.35716120511768</v>
      </c>
      <c r="BX55" s="257">
        <v>0</v>
      </c>
      <c r="BY55" s="257">
        <v>710.03322673041828</v>
      </c>
      <c r="BZ55" s="257">
        <v>0</v>
      </c>
      <c r="CA55" s="257">
        <v>1534.8245367175707</v>
      </c>
      <c r="CB55" s="462">
        <f t="shared" si="96"/>
        <v>3326.6749246531062</v>
      </c>
      <c r="CC55" s="463">
        <f t="shared" si="97"/>
        <v>5897.0391484414195</v>
      </c>
      <c r="CD55" s="343">
        <v>33</v>
      </c>
      <c r="CE55" s="462">
        <f t="shared" si="98"/>
        <v>311473.03999999969</v>
      </c>
      <c r="CF55" s="462">
        <f t="shared" si="99"/>
        <v>345581.16902446165</v>
      </c>
      <c r="CG55" s="462">
        <f t="shared" si="100"/>
        <v>383553.06750507833</v>
      </c>
      <c r="CH55" s="462">
        <f t="shared" si="101"/>
        <v>387092.63752693305</v>
      </c>
      <c r="CI55" s="464">
        <f t="shared" si="102"/>
        <v>1427699.9140564725</v>
      </c>
      <c r="CJ55" s="462">
        <f t="shared" si="103"/>
        <v>93242.250000000087</v>
      </c>
      <c r="CK55" s="462">
        <f t="shared" si="104"/>
        <v>95705.871481521783</v>
      </c>
      <c r="CL55" s="462">
        <f t="shared" si="105"/>
        <v>96972.421574515436</v>
      </c>
      <c r="CM55" s="462">
        <f t="shared" si="106"/>
        <v>123297.51060199772</v>
      </c>
      <c r="CN55" s="464">
        <f t="shared" si="107"/>
        <v>409218.053658035</v>
      </c>
      <c r="CO55" s="462">
        <f t="shared" si="108"/>
        <v>404715.28999999975</v>
      </c>
      <c r="CP55" s="462">
        <f t="shared" si="109"/>
        <v>441287.04050598346</v>
      </c>
      <c r="CQ55" s="462">
        <f t="shared" si="110"/>
        <v>480525.48907959374</v>
      </c>
      <c r="CR55" s="462">
        <f t="shared" si="111"/>
        <v>510390.14812893077</v>
      </c>
      <c r="CS55" s="464">
        <f t="shared" si="112"/>
        <v>1836917.9677145076</v>
      </c>
      <c r="CT55" s="362"/>
    </row>
    <row r="56" spans="1:98" ht="15.75" customHeight="1" x14ac:dyDescent="0.25">
      <c r="A56" s="94" t="s">
        <v>285</v>
      </c>
      <c r="B56" s="343">
        <v>34</v>
      </c>
      <c r="C56" s="257">
        <v>746.0099999999992</v>
      </c>
      <c r="D56" s="257">
        <v>5743.0699999999943</v>
      </c>
      <c r="E56" s="257">
        <v>7986.5228766701275</v>
      </c>
      <c r="F56" s="257">
        <v>13665.055063915112</v>
      </c>
      <c r="G56" s="257">
        <v>1581.5495686768138</v>
      </c>
      <c r="H56" s="257">
        <v>10444.77605422882</v>
      </c>
      <c r="I56" s="257">
        <v>7158.8651394433709</v>
      </c>
      <c r="J56" s="257">
        <v>11471.332987574466</v>
      </c>
      <c r="K56" s="460">
        <f t="shared" si="86"/>
        <v>58797.181690508703</v>
      </c>
      <c r="L56" s="465">
        <v>0</v>
      </c>
      <c r="M56" s="257">
        <v>5991.24</v>
      </c>
      <c r="N56" s="257">
        <v>0</v>
      </c>
      <c r="O56" s="257">
        <v>9243.7050011901774</v>
      </c>
      <c r="P56" s="257">
        <v>0</v>
      </c>
      <c r="Q56" s="257">
        <v>8255.0001426919189</v>
      </c>
      <c r="R56" s="257">
        <v>0</v>
      </c>
      <c r="S56" s="257">
        <v>10610.620095588723</v>
      </c>
      <c r="T56" s="462">
        <f t="shared" si="87"/>
        <v>34100.565239470823</v>
      </c>
      <c r="U56" s="463">
        <f t="shared" si="88"/>
        <v>92897.746929979534</v>
      </c>
      <c r="V56" s="343">
        <v>34</v>
      </c>
      <c r="W56" s="257">
        <v>0</v>
      </c>
      <c r="X56" s="257">
        <v>5023.5699999999943</v>
      </c>
      <c r="Y56" s="257">
        <v>454.38738590983451</v>
      </c>
      <c r="Z56" s="257">
        <v>1810.7688365114848</v>
      </c>
      <c r="AA56" s="257">
        <v>996.92497409622342</v>
      </c>
      <c r="AB56" s="257">
        <v>1781.4312385537153</v>
      </c>
      <c r="AC56" s="257">
        <v>25.608526672456254</v>
      </c>
      <c r="AD56" s="257">
        <v>1063.5732895429005</v>
      </c>
      <c r="AE56" s="460">
        <f t="shared" si="89"/>
        <v>11156.264251286611</v>
      </c>
      <c r="AF56" s="465">
        <v>0</v>
      </c>
      <c r="AG56" s="257">
        <v>3416.880000000001</v>
      </c>
      <c r="AH56" s="257">
        <v>0</v>
      </c>
      <c r="AI56" s="257">
        <v>1020.9157278274212</v>
      </c>
      <c r="AJ56" s="257">
        <v>0</v>
      </c>
      <c r="AK56" s="257">
        <v>432.92898553281793</v>
      </c>
      <c r="AL56" s="257">
        <v>0</v>
      </c>
      <c r="AM56" s="257">
        <v>641.53241027961485</v>
      </c>
      <c r="AN56" s="462">
        <f t="shared" si="90"/>
        <v>5512.2571236398553</v>
      </c>
      <c r="AO56" s="463">
        <f t="shared" si="91"/>
        <v>16668.521374926466</v>
      </c>
      <c r="AP56" s="343">
        <v>34</v>
      </c>
      <c r="AQ56" s="257">
        <v>14324.459999999986</v>
      </c>
      <c r="AR56" s="257">
        <v>42025.599999999977</v>
      </c>
      <c r="AS56" s="257">
        <v>7217.1926468617457</v>
      </c>
      <c r="AT56" s="257">
        <v>42786.161966322063</v>
      </c>
      <c r="AU56" s="257">
        <v>9728.8229640600566</v>
      </c>
      <c r="AV56" s="257">
        <v>46962.108715768292</v>
      </c>
      <c r="AW56" s="257">
        <v>18611.889086157789</v>
      </c>
      <c r="AX56" s="257">
        <v>62453.747075731932</v>
      </c>
      <c r="AY56" s="460">
        <f t="shared" si="92"/>
        <v>244109.98245490182</v>
      </c>
      <c r="AZ56" s="465">
        <v>0</v>
      </c>
      <c r="BA56" s="257">
        <v>41512.720000000001</v>
      </c>
      <c r="BB56" s="257">
        <v>0</v>
      </c>
      <c r="BC56" s="257">
        <v>37027.201596794177</v>
      </c>
      <c r="BD56" s="257">
        <v>0</v>
      </c>
      <c r="BE56" s="257">
        <v>23567.261329503268</v>
      </c>
      <c r="BF56" s="257">
        <v>0</v>
      </c>
      <c r="BG56" s="257">
        <v>25195.235339007817</v>
      </c>
      <c r="BH56" s="462">
        <f t="shared" si="93"/>
        <v>127302.41826530527</v>
      </c>
      <c r="BI56" s="463">
        <f t="shared" si="94"/>
        <v>371412.40072020708</v>
      </c>
      <c r="BJ56" s="343">
        <v>34</v>
      </c>
      <c r="BK56" s="257">
        <v>579.49999999999943</v>
      </c>
      <c r="BL56" s="257">
        <v>3894.0299999999957</v>
      </c>
      <c r="BM56" s="257">
        <v>0</v>
      </c>
      <c r="BN56" s="257">
        <v>1300.0955808146946</v>
      </c>
      <c r="BO56" s="257">
        <v>853.00937069605141</v>
      </c>
      <c r="BP56" s="257">
        <v>1115.4160216215669</v>
      </c>
      <c r="BQ56" s="257">
        <v>0</v>
      </c>
      <c r="BR56" s="257">
        <v>1219.8888624430485</v>
      </c>
      <c r="BS56" s="460">
        <f t="shared" si="95"/>
        <v>8961.9398355753565</v>
      </c>
      <c r="BT56" s="465">
        <v>0</v>
      </c>
      <c r="BU56" s="257">
        <v>13202.369999999995</v>
      </c>
      <c r="BV56" s="257">
        <v>0</v>
      </c>
      <c r="BW56" s="257">
        <v>18080.114356970022</v>
      </c>
      <c r="BX56" s="257">
        <v>0</v>
      </c>
      <c r="BY56" s="257">
        <v>16805.12944229244</v>
      </c>
      <c r="BZ56" s="257">
        <v>0</v>
      </c>
      <c r="CA56" s="257">
        <v>17029.393514262047</v>
      </c>
      <c r="CB56" s="462">
        <f t="shared" si="96"/>
        <v>65117.007313524504</v>
      </c>
      <c r="CC56" s="463">
        <f t="shared" si="97"/>
        <v>74078.947149099855</v>
      </c>
      <c r="CD56" s="343">
        <v>34</v>
      </c>
      <c r="CE56" s="462">
        <f t="shared" si="98"/>
        <v>72336.239999999947</v>
      </c>
      <c r="CF56" s="462">
        <f t="shared" si="99"/>
        <v>75220.184357005055</v>
      </c>
      <c r="CG56" s="462">
        <f t="shared" si="100"/>
        <v>73464.038907701528</v>
      </c>
      <c r="CH56" s="462">
        <f t="shared" si="101"/>
        <v>102004.90496756598</v>
      </c>
      <c r="CI56" s="464">
        <f t="shared" si="102"/>
        <v>323025.36823227251</v>
      </c>
      <c r="CJ56" s="462">
        <f t="shared" si="103"/>
        <v>64123.21</v>
      </c>
      <c r="CK56" s="462">
        <f t="shared" si="104"/>
        <v>65371.936682781801</v>
      </c>
      <c r="CL56" s="462">
        <f t="shared" si="105"/>
        <v>49060.319900020448</v>
      </c>
      <c r="CM56" s="462">
        <f t="shared" si="106"/>
        <v>53476.7813591382</v>
      </c>
      <c r="CN56" s="464">
        <f t="shared" si="107"/>
        <v>232032.24794194044</v>
      </c>
      <c r="CO56" s="462">
        <f t="shared" si="108"/>
        <v>136459.44999999995</v>
      </c>
      <c r="CP56" s="462">
        <f t="shared" si="109"/>
        <v>140592.12103978684</v>
      </c>
      <c r="CQ56" s="462">
        <f t="shared" si="110"/>
        <v>122524.35880772198</v>
      </c>
      <c r="CR56" s="462">
        <f t="shared" si="111"/>
        <v>155481.68632670413</v>
      </c>
      <c r="CS56" s="464">
        <f t="shared" si="112"/>
        <v>555057.61617421289</v>
      </c>
      <c r="CT56" s="362"/>
    </row>
    <row r="57" spans="1:98" ht="15.75" customHeight="1" x14ac:dyDescent="0.25">
      <c r="A57" s="94" t="s">
        <v>240</v>
      </c>
      <c r="B57" s="343">
        <v>35</v>
      </c>
      <c r="C57" s="257">
        <v>1613.2899999999984</v>
      </c>
      <c r="D57" s="257">
        <v>3793.549999999997</v>
      </c>
      <c r="E57" s="257">
        <v>1495.3659446367114</v>
      </c>
      <c r="F57" s="257">
        <v>4428.4218191515401</v>
      </c>
      <c r="G57" s="257">
        <v>3813.3329048731216</v>
      </c>
      <c r="H57" s="257">
        <v>7349.3488934809793</v>
      </c>
      <c r="I57" s="257">
        <v>2504.1660267354923</v>
      </c>
      <c r="J57" s="257">
        <v>4796.1040279498984</v>
      </c>
      <c r="K57" s="460">
        <f t="shared" si="86"/>
        <v>29793.579616827741</v>
      </c>
      <c r="L57" s="465">
        <v>0</v>
      </c>
      <c r="M57" s="257">
        <v>3551.6399999999976</v>
      </c>
      <c r="N57" s="257">
        <v>0</v>
      </c>
      <c r="O57" s="257">
        <v>6052.0500717351488</v>
      </c>
      <c r="P57" s="257">
        <v>0</v>
      </c>
      <c r="Q57" s="257">
        <v>10911.83460236662</v>
      </c>
      <c r="R57" s="257">
        <v>0</v>
      </c>
      <c r="S57" s="257">
        <v>7038.9140190830713</v>
      </c>
      <c r="T57" s="462">
        <f t="shared" si="87"/>
        <v>27554.438693184835</v>
      </c>
      <c r="U57" s="463">
        <f t="shared" si="88"/>
        <v>57348.018310012572</v>
      </c>
      <c r="V57" s="343">
        <v>35</v>
      </c>
      <c r="W57" s="257">
        <v>0</v>
      </c>
      <c r="X57" s="257">
        <v>1057.2899999999988</v>
      </c>
      <c r="Y57" s="257">
        <v>0</v>
      </c>
      <c r="Z57" s="257">
        <v>289.01013949954654</v>
      </c>
      <c r="AA57" s="257">
        <v>302.59126798959062</v>
      </c>
      <c r="AB57" s="257">
        <v>445.36531984595399</v>
      </c>
      <c r="AC57" s="257">
        <v>296.27265624549216</v>
      </c>
      <c r="AD57" s="257">
        <v>658.0295426510578</v>
      </c>
      <c r="AE57" s="460">
        <f t="shared" si="89"/>
        <v>3048.5589262316398</v>
      </c>
      <c r="AF57" s="465">
        <v>0</v>
      </c>
      <c r="AG57" s="257">
        <v>2081.9899999999993</v>
      </c>
      <c r="AH57" s="257">
        <v>0</v>
      </c>
      <c r="AI57" s="257">
        <v>494.86846173831975</v>
      </c>
      <c r="AJ57" s="257">
        <v>0</v>
      </c>
      <c r="AK57" s="257">
        <v>587.07862640463134</v>
      </c>
      <c r="AL57" s="257">
        <v>0</v>
      </c>
      <c r="AM57" s="257">
        <v>407.09995925868429</v>
      </c>
      <c r="AN57" s="462">
        <f t="shared" si="90"/>
        <v>3571.0370474016345</v>
      </c>
      <c r="AO57" s="463">
        <f t="shared" si="91"/>
        <v>6619.5959736332743</v>
      </c>
      <c r="AP57" s="343">
        <v>35</v>
      </c>
      <c r="AQ57" s="257">
        <v>8635.7499999999891</v>
      </c>
      <c r="AR57" s="257">
        <v>60680.949999999946</v>
      </c>
      <c r="AS57" s="257">
        <v>5529.7966763225222</v>
      </c>
      <c r="AT57" s="257">
        <v>26895.574812198851</v>
      </c>
      <c r="AU57" s="257">
        <v>11355.143383196246</v>
      </c>
      <c r="AV57" s="257">
        <v>41672.048712048061</v>
      </c>
      <c r="AW57" s="257">
        <v>13266.795355275246</v>
      </c>
      <c r="AX57" s="257">
        <v>39062.625224975782</v>
      </c>
      <c r="AY57" s="460">
        <f t="shared" si="92"/>
        <v>207098.68416401665</v>
      </c>
      <c r="AZ57" s="465">
        <v>0</v>
      </c>
      <c r="BA57" s="257">
        <v>95476.249999999971</v>
      </c>
      <c r="BB57" s="257">
        <v>0</v>
      </c>
      <c r="BC57" s="257">
        <v>53346.554014865869</v>
      </c>
      <c r="BD57" s="257">
        <v>0</v>
      </c>
      <c r="BE57" s="257">
        <v>91517.452161219975</v>
      </c>
      <c r="BF57" s="257">
        <v>0</v>
      </c>
      <c r="BG57" s="257">
        <v>72081.180914371289</v>
      </c>
      <c r="BH57" s="462">
        <f t="shared" si="93"/>
        <v>312421.43709045707</v>
      </c>
      <c r="BI57" s="463">
        <f t="shared" si="94"/>
        <v>519520.12125447369</v>
      </c>
      <c r="BJ57" s="343">
        <v>35</v>
      </c>
      <c r="BK57" s="257">
        <v>2068.8999999999978</v>
      </c>
      <c r="BL57" s="257">
        <v>1059.7099999999989</v>
      </c>
      <c r="BM57" s="257">
        <v>1920.1102392088528</v>
      </c>
      <c r="BN57" s="257">
        <v>0</v>
      </c>
      <c r="BO57" s="257">
        <v>1032.553398595097</v>
      </c>
      <c r="BP57" s="257">
        <v>173.86631101010207</v>
      </c>
      <c r="BQ57" s="257">
        <v>0</v>
      </c>
      <c r="BR57" s="257">
        <v>201.60053722395773</v>
      </c>
      <c r="BS57" s="460">
        <f t="shared" si="95"/>
        <v>6456.7404860380066</v>
      </c>
      <c r="BT57" s="465">
        <v>0</v>
      </c>
      <c r="BU57" s="257">
        <v>682.7800000000002</v>
      </c>
      <c r="BV57" s="257">
        <v>0</v>
      </c>
      <c r="BW57" s="257">
        <v>0</v>
      </c>
      <c r="BX57" s="257">
        <v>0</v>
      </c>
      <c r="BY57" s="257">
        <v>174.47155474520588</v>
      </c>
      <c r="BZ57" s="257">
        <v>0</v>
      </c>
      <c r="CA57" s="257">
        <v>248.24988596752672</v>
      </c>
      <c r="CB57" s="462">
        <f t="shared" si="96"/>
        <v>1105.5014407127328</v>
      </c>
      <c r="CC57" s="463">
        <f t="shared" si="97"/>
        <v>7562.2419267507394</v>
      </c>
      <c r="CD57" s="343">
        <v>35</v>
      </c>
      <c r="CE57" s="462">
        <f t="shared" si="98"/>
        <v>78909.439999999915</v>
      </c>
      <c r="CF57" s="462">
        <f t="shared" si="99"/>
        <v>40558.27963101802</v>
      </c>
      <c r="CG57" s="462">
        <f t="shared" si="100"/>
        <v>66144.250191039158</v>
      </c>
      <c r="CH57" s="462">
        <f t="shared" si="101"/>
        <v>60785.59337105693</v>
      </c>
      <c r="CI57" s="464">
        <f t="shared" si="102"/>
        <v>246397.56319311404</v>
      </c>
      <c r="CJ57" s="462">
        <f t="shared" si="103"/>
        <v>101792.65999999997</v>
      </c>
      <c r="CK57" s="462">
        <f t="shared" si="104"/>
        <v>59893.472548339341</v>
      </c>
      <c r="CL57" s="462">
        <f t="shared" si="105"/>
        <v>103190.83694473644</v>
      </c>
      <c r="CM57" s="462">
        <f t="shared" si="106"/>
        <v>79775.444778680569</v>
      </c>
      <c r="CN57" s="464">
        <f t="shared" si="107"/>
        <v>344652.41427175625</v>
      </c>
      <c r="CO57" s="462">
        <f t="shared" si="108"/>
        <v>180702.09999999989</v>
      </c>
      <c r="CP57" s="462">
        <f t="shared" si="109"/>
        <v>100451.75217935737</v>
      </c>
      <c r="CQ57" s="462">
        <f t="shared" si="110"/>
        <v>169335.08713577557</v>
      </c>
      <c r="CR57" s="462">
        <f t="shared" si="111"/>
        <v>140561.03814973749</v>
      </c>
      <c r="CS57" s="464">
        <f t="shared" si="112"/>
        <v>591049.9774648702</v>
      </c>
      <c r="CT57" s="362"/>
    </row>
    <row r="58" spans="1:98" ht="15.75" customHeight="1" x14ac:dyDescent="0.25">
      <c r="A58" s="94" t="s">
        <v>230</v>
      </c>
      <c r="B58" s="343">
        <v>36</v>
      </c>
      <c r="C58" s="257">
        <v>0</v>
      </c>
      <c r="D58" s="257">
        <v>0</v>
      </c>
      <c r="E58" s="257">
        <v>0</v>
      </c>
      <c r="F58" s="257">
        <v>0</v>
      </c>
      <c r="G58" s="257">
        <v>0</v>
      </c>
      <c r="H58" s="257">
        <v>0</v>
      </c>
      <c r="I58" s="257">
        <v>0</v>
      </c>
      <c r="J58" s="257">
        <v>0</v>
      </c>
      <c r="K58" s="460">
        <f t="shared" si="86"/>
        <v>0</v>
      </c>
      <c r="L58" s="465">
        <v>0</v>
      </c>
      <c r="M58" s="257">
        <v>0</v>
      </c>
      <c r="N58" s="257">
        <v>0</v>
      </c>
      <c r="O58" s="257">
        <v>0</v>
      </c>
      <c r="P58" s="257">
        <v>0</v>
      </c>
      <c r="Q58" s="257">
        <v>0</v>
      </c>
      <c r="R58" s="257">
        <v>0</v>
      </c>
      <c r="S58" s="257">
        <v>0</v>
      </c>
      <c r="T58" s="462">
        <f t="shared" si="87"/>
        <v>0</v>
      </c>
      <c r="U58" s="463">
        <f t="shared" si="88"/>
        <v>0</v>
      </c>
      <c r="V58" s="343">
        <v>36</v>
      </c>
      <c r="W58" s="257">
        <v>0</v>
      </c>
      <c r="X58" s="257">
        <v>0</v>
      </c>
      <c r="Y58" s="257">
        <v>0</v>
      </c>
      <c r="Z58" s="257">
        <v>0</v>
      </c>
      <c r="AA58" s="257">
        <v>0</v>
      </c>
      <c r="AB58" s="257">
        <v>0</v>
      </c>
      <c r="AC58" s="257">
        <v>0</v>
      </c>
      <c r="AD58" s="257">
        <v>0</v>
      </c>
      <c r="AE58" s="460">
        <f t="shared" si="89"/>
        <v>0</v>
      </c>
      <c r="AF58" s="465">
        <v>0</v>
      </c>
      <c r="AG58" s="257">
        <v>0</v>
      </c>
      <c r="AH58" s="257">
        <v>0</v>
      </c>
      <c r="AI58" s="257">
        <v>155.09353897211631</v>
      </c>
      <c r="AJ58" s="257">
        <v>0</v>
      </c>
      <c r="AK58" s="257">
        <v>0</v>
      </c>
      <c r="AL58" s="257">
        <v>0</v>
      </c>
      <c r="AM58" s="257">
        <v>0</v>
      </c>
      <c r="AN58" s="462">
        <f t="shared" si="90"/>
        <v>155.09353897211631</v>
      </c>
      <c r="AO58" s="463">
        <f t="shared" si="91"/>
        <v>155.09353897211631</v>
      </c>
      <c r="AP58" s="343">
        <v>36</v>
      </c>
      <c r="AQ58" s="257">
        <v>0</v>
      </c>
      <c r="AR58" s="257">
        <v>0</v>
      </c>
      <c r="AS58" s="257">
        <v>0</v>
      </c>
      <c r="AT58" s="257">
        <v>0</v>
      </c>
      <c r="AU58" s="257">
        <v>3513.124876071482</v>
      </c>
      <c r="AV58" s="257">
        <v>0</v>
      </c>
      <c r="AW58" s="257">
        <v>0</v>
      </c>
      <c r="AX58" s="257">
        <v>0</v>
      </c>
      <c r="AY58" s="460">
        <f t="shared" si="92"/>
        <v>3513.124876071482</v>
      </c>
      <c r="AZ58" s="465">
        <v>0</v>
      </c>
      <c r="BA58" s="257">
        <v>0</v>
      </c>
      <c r="BB58" s="257">
        <v>0</v>
      </c>
      <c r="BC58" s="257">
        <v>0</v>
      </c>
      <c r="BD58" s="257">
        <v>0</v>
      </c>
      <c r="BE58" s="257">
        <v>466.42102424123692</v>
      </c>
      <c r="BF58" s="257">
        <v>0</v>
      </c>
      <c r="BG58" s="257">
        <v>156.32864355637705</v>
      </c>
      <c r="BH58" s="462">
        <f t="shared" si="93"/>
        <v>622.74966779761394</v>
      </c>
      <c r="BI58" s="463">
        <f t="shared" si="94"/>
        <v>4135.8745438690958</v>
      </c>
      <c r="BJ58" s="343">
        <v>36</v>
      </c>
      <c r="BK58" s="257">
        <v>0</v>
      </c>
      <c r="BL58" s="257">
        <v>0</v>
      </c>
      <c r="BM58" s="257">
        <v>0</v>
      </c>
      <c r="BN58" s="257">
        <v>0</v>
      </c>
      <c r="BO58" s="257">
        <v>0</v>
      </c>
      <c r="BP58" s="257">
        <v>0</v>
      </c>
      <c r="BQ58" s="257">
        <v>0</v>
      </c>
      <c r="BR58" s="257">
        <v>0</v>
      </c>
      <c r="BS58" s="460">
        <f t="shared" si="95"/>
        <v>0</v>
      </c>
      <c r="BT58" s="465">
        <v>0</v>
      </c>
      <c r="BU58" s="257">
        <v>0</v>
      </c>
      <c r="BV58" s="257">
        <v>0</v>
      </c>
      <c r="BW58" s="257">
        <v>0</v>
      </c>
      <c r="BX58" s="257">
        <v>0</v>
      </c>
      <c r="BY58" s="257">
        <v>0</v>
      </c>
      <c r="BZ58" s="257">
        <v>0</v>
      </c>
      <c r="CA58" s="257">
        <v>0</v>
      </c>
      <c r="CB58" s="462">
        <f t="shared" si="96"/>
        <v>0</v>
      </c>
      <c r="CC58" s="463">
        <f t="shared" si="97"/>
        <v>0</v>
      </c>
      <c r="CD58" s="343">
        <v>36</v>
      </c>
      <c r="CE58" s="462">
        <f t="shared" si="98"/>
        <v>0</v>
      </c>
      <c r="CF58" s="462">
        <f t="shared" si="99"/>
        <v>0</v>
      </c>
      <c r="CG58" s="462">
        <f t="shared" si="100"/>
        <v>3513.124876071482</v>
      </c>
      <c r="CH58" s="462">
        <f t="shared" si="101"/>
        <v>0</v>
      </c>
      <c r="CI58" s="464">
        <f t="shared" si="102"/>
        <v>3513.124876071482</v>
      </c>
      <c r="CJ58" s="462">
        <f t="shared" si="103"/>
        <v>0</v>
      </c>
      <c r="CK58" s="462">
        <f t="shared" si="104"/>
        <v>155.09353897211631</v>
      </c>
      <c r="CL58" s="462">
        <f t="shared" si="105"/>
        <v>466.42102424123692</v>
      </c>
      <c r="CM58" s="462">
        <f t="shared" si="106"/>
        <v>156.32864355637705</v>
      </c>
      <c r="CN58" s="464">
        <f t="shared" si="107"/>
        <v>777.84320676973027</v>
      </c>
      <c r="CO58" s="462">
        <f t="shared" si="108"/>
        <v>0</v>
      </c>
      <c r="CP58" s="462">
        <f t="shared" si="109"/>
        <v>155.09353897211631</v>
      </c>
      <c r="CQ58" s="462">
        <f t="shared" si="110"/>
        <v>3979.5459003127189</v>
      </c>
      <c r="CR58" s="462">
        <f t="shared" si="111"/>
        <v>156.32864355637705</v>
      </c>
      <c r="CS58" s="464">
        <f t="shared" si="112"/>
        <v>4290.968082841212</v>
      </c>
      <c r="CT58" s="362"/>
    </row>
    <row r="59" spans="1:98" ht="15.75" customHeight="1" x14ac:dyDescent="0.25">
      <c r="A59" s="94" t="s">
        <v>341</v>
      </c>
      <c r="B59" s="343">
        <v>37</v>
      </c>
      <c r="C59" s="257">
        <v>0</v>
      </c>
      <c r="D59" s="257">
        <v>0</v>
      </c>
      <c r="E59" s="257">
        <v>0</v>
      </c>
      <c r="F59" s="257">
        <v>22.262321632154148</v>
      </c>
      <c r="G59" s="257">
        <v>290.77520815016658</v>
      </c>
      <c r="H59" s="257">
        <v>201.61402441268183</v>
      </c>
      <c r="I59" s="257">
        <v>0</v>
      </c>
      <c r="J59" s="257">
        <v>41.56484070040603</v>
      </c>
      <c r="K59" s="460">
        <f t="shared" si="86"/>
        <v>556.2163948954086</v>
      </c>
      <c r="L59" s="465">
        <v>0</v>
      </c>
      <c r="M59" s="257">
        <v>0</v>
      </c>
      <c r="N59" s="257">
        <v>0</v>
      </c>
      <c r="O59" s="257">
        <v>0</v>
      </c>
      <c r="P59" s="257">
        <v>0</v>
      </c>
      <c r="Q59" s="257">
        <v>0</v>
      </c>
      <c r="R59" s="257">
        <v>0</v>
      </c>
      <c r="S59" s="257">
        <v>103.08613327675677</v>
      </c>
      <c r="T59" s="462">
        <f t="shared" si="87"/>
        <v>103.08613327675677</v>
      </c>
      <c r="U59" s="463">
        <f t="shared" si="88"/>
        <v>659.30252817216535</v>
      </c>
      <c r="V59" s="343">
        <v>37</v>
      </c>
      <c r="W59" s="257">
        <v>0</v>
      </c>
      <c r="X59" s="257">
        <v>0</v>
      </c>
      <c r="Y59" s="257">
        <v>0</v>
      </c>
      <c r="Z59" s="257">
        <v>0</v>
      </c>
      <c r="AA59" s="257">
        <v>0</v>
      </c>
      <c r="AB59" s="257">
        <v>0</v>
      </c>
      <c r="AC59" s="257">
        <v>0</v>
      </c>
      <c r="AD59" s="257">
        <v>27.177011227188558</v>
      </c>
      <c r="AE59" s="460">
        <f t="shared" si="89"/>
        <v>27.177011227188558</v>
      </c>
      <c r="AF59" s="465">
        <v>0</v>
      </c>
      <c r="AG59" s="257">
        <v>0</v>
      </c>
      <c r="AH59" s="257">
        <v>0</v>
      </c>
      <c r="AI59" s="257">
        <v>0</v>
      </c>
      <c r="AJ59" s="257">
        <v>0</v>
      </c>
      <c r="AK59" s="257">
        <v>0</v>
      </c>
      <c r="AL59" s="257">
        <v>0</v>
      </c>
      <c r="AM59" s="257">
        <v>0</v>
      </c>
      <c r="AN59" s="462">
        <f t="shared" si="90"/>
        <v>0</v>
      </c>
      <c r="AO59" s="463">
        <f t="shared" si="91"/>
        <v>27.177011227188558</v>
      </c>
      <c r="AP59" s="343">
        <v>37</v>
      </c>
      <c r="AQ59" s="257">
        <v>0</v>
      </c>
      <c r="AR59" s="257">
        <v>31.799999999999972</v>
      </c>
      <c r="AS59" s="257">
        <v>20.672155801285996</v>
      </c>
      <c r="AT59" s="257">
        <v>230.47403504626786</v>
      </c>
      <c r="AU59" s="257">
        <v>15.420959451451774</v>
      </c>
      <c r="AV59" s="257">
        <v>331.58066903631334</v>
      </c>
      <c r="AW59" s="257">
        <v>102.76590149947992</v>
      </c>
      <c r="AX59" s="257">
        <v>353.71337586847699</v>
      </c>
      <c r="AY59" s="460">
        <f t="shared" si="92"/>
        <v>1086.4270967032758</v>
      </c>
      <c r="AZ59" s="465">
        <v>0</v>
      </c>
      <c r="BA59" s="257">
        <v>0</v>
      </c>
      <c r="BB59" s="257">
        <v>0</v>
      </c>
      <c r="BC59" s="257">
        <v>468.2824273480673</v>
      </c>
      <c r="BD59" s="257">
        <v>0</v>
      </c>
      <c r="BE59" s="257">
        <v>0</v>
      </c>
      <c r="BF59" s="257">
        <v>0</v>
      </c>
      <c r="BG59" s="257">
        <v>103.0861332767568</v>
      </c>
      <c r="BH59" s="462">
        <f t="shared" si="93"/>
        <v>571.36856062482411</v>
      </c>
      <c r="BI59" s="463">
        <f t="shared" si="94"/>
        <v>1657.7956573280999</v>
      </c>
      <c r="BJ59" s="343">
        <v>37</v>
      </c>
      <c r="BK59" s="257">
        <v>0</v>
      </c>
      <c r="BL59" s="257">
        <v>0</v>
      </c>
      <c r="BM59" s="257">
        <v>0</v>
      </c>
      <c r="BN59" s="257">
        <v>0</v>
      </c>
      <c r="BO59" s="257">
        <v>0</v>
      </c>
      <c r="BP59" s="257">
        <v>0</v>
      </c>
      <c r="BQ59" s="257">
        <v>0</v>
      </c>
      <c r="BR59" s="257">
        <v>0</v>
      </c>
      <c r="BS59" s="460">
        <f t="shared" si="95"/>
        <v>0</v>
      </c>
      <c r="BT59" s="465">
        <v>0</v>
      </c>
      <c r="BU59" s="257">
        <v>0</v>
      </c>
      <c r="BV59" s="257">
        <v>0</v>
      </c>
      <c r="BW59" s="257">
        <v>0</v>
      </c>
      <c r="BX59" s="257">
        <v>0</v>
      </c>
      <c r="BY59" s="257">
        <v>0</v>
      </c>
      <c r="BZ59" s="257">
        <v>0</v>
      </c>
      <c r="CA59" s="257">
        <v>0</v>
      </c>
      <c r="CB59" s="462">
        <f t="shared" si="96"/>
        <v>0</v>
      </c>
      <c r="CC59" s="463">
        <f t="shared" si="97"/>
        <v>0</v>
      </c>
      <c r="CD59" s="343">
        <v>37</v>
      </c>
      <c r="CE59" s="462">
        <f t="shared" si="98"/>
        <v>31.799999999999972</v>
      </c>
      <c r="CF59" s="462">
        <f t="shared" si="99"/>
        <v>273.40851247970801</v>
      </c>
      <c r="CG59" s="462">
        <f t="shared" si="100"/>
        <v>839.39086105061347</v>
      </c>
      <c r="CH59" s="462">
        <f t="shared" si="101"/>
        <v>525.22112929555146</v>
      </c>
      <c r="CI59" s="464">
        <f t="shared" si="102"/>
        <v>1669.8205028258731</v>
      </c>
      <c r="CJ59" s="462">
        <f t="shared" si="103"/>
        <v>0</v>
      </c>
      <c r="CK59" s="462">
        <f t="shared" si="104"/>
        <v>468.2824273480673</v>
      </c>
      <c r="CL59" s="462">
        <f t="shared" si="105"/>
        <v>0</v>
      </c>
      <c r="CM59" s="462">
        <f t="shared" si="106"/>
        <v>206.17226655351357</v>
      </c>
      <c r="CN59" s="464">
        <f t="shared" si="107"/>
        <v>674.45469390158087</v>
      </c>
      <c r="CO59" s="462">
        <f t="shared" si="108"/>
        <v>31.799999999999972</v>
      </c>
      <c r="CP59" s="462">
        <f t="shared" si="109"/>
        <v>741.69093982777531</v>
      </c>
      <c r="CQ59" s="462">
        <f t="shared" si="110"/>
        <v>839.39086105061347</v>
      </c>
      <c r="CR59" s="462">
        <f t="shared" si="111"/>
        <v>731.39339584906497</v>
      </c>
      <c r="CS59" s="464">
        <f t="shared" si="112"/>
        <v>2344.2751967274539</v>
      </c>
      <c r="CT59" s="362"/>
    </row>
    <row r="60" spans="1:98" ht="15.75" customHeight="1" x14ac:dyDescent="0.25">
      <c r="A60" s="724" t="s">
        <v>1508</v>
      </c>
      <c r="B60" s="725">
        <v>38</v>
      </c>
      <c r="C60" s="468">
        <v>4250.7672533067116</v>
      </c>
      <c r="D60" s="468">
        <v>33236.075816713892</v>
      </c>
      <c r="E60" s="468">
        <v>7425.5617380265712</v>
      </c>
      <c r="F60" s="468">
        <v>48034.102492859391</v>
      </c>
      <c r="G60" s="468">
        <v>8419.2342260502173</v>
      </c>
      <c r="H60" s="468">
        <v>49742.998546571929</v>
      </c>
      <c r="I60" s="468">
        <v>7006.6185459908675</v>
      </c>
      <c r="J60" s="468">
        <v>48661.350780947563</v>
      </c>
      <c r="K60" s="460">
        <f>SUM(C60:J60)</f>
        <v>206776.70940046714</v>
      </c>
      <c r="L60" s="469">
        <v>0</v>
      </c>
      <c r="M60" s="468">
        <v>0</v>
      </c>
      <c r="N60" s="468">
        <v>0</v>
      </c>
      <c r="O60" s="468">
        <v>0</v>
      </c>
      <c r="P60" s="468">
        <v>0</v>
      </c>
      <c r="Q60" s="468">
        <v>0</v>
      </c>
      <c r="R60" s="468">
        <v>0</v>
      </c>
      <c r="S60" s="468">
        <v>0</v>
      </c>
      <c r="T60" s="462">
        <f>SUM(L60:S60)</f>
        <v>0</v>
      </c>
      <c r="U60" s="463">
        <f>SUM(T60,K60)</f>
        <v>206776.70940046714</v>
      </c>
      <c r="V60" s="725">
        <v>38</v>
      </c>
      <c r="W60" s="468">
        <v>0</v>
      </c>
      <c r="X60" s="468">
        <v>9583.5479892733129</v>
      </c>
      <c r="Y60" s="468">
        <v>154.69920287555357</v>
      </c>
      <c r="Z60" s="468">
        <v>6729.4153250865811</v>
      </c>
      <c r="AA60" s="468">
        <v>617.92544778350214</v>
      </c>
      <c r="AB60" s="468">
        <v>7028.9019685373369</v>
      </c>
      <c r="AC60" s="468">
        <v>692.96227377931655</v>
      </c>
      <c r="AD60" s="468">
        <v>7237.6059705839725</v>
      </c>
      <c r="AE60" s="460">
        <f>SUM(W60:AD60)</f>
        <v>32045.058177919578</v>
      </c>
      <c r="AF60" s="469">
        <v>0</v>
      </c>
      <c r="AG60" s="468">
        <v>0</v>
      </c>
      <c r="AH60" s="468">
        <v>0</v>
      </c>
      <c r="AI60" s="468">
        <v>0</v>
      </c>
      <c r="AJ60" s="468">
        <v>0</v>
      </c>
      <c r="AK60" s="468">
        <v>0</v>
      </c>
      <c r="AL60" s="468">
        <v>0</v>
      </c>
      <c r="AM60" s="468">
        <v>0</v>
      </c>
      <c r="AN60" s="462">
        <f>SUM(AF60:AM60)</f>
        <v>0</v>
      </c>
      <c r="AO60" s="463">
        <f>SUM(AN60,AE60)</f>
        <v>32045.058177919578</v>
      </c>
      <c r="AP60" s="725">
        <v>38</v>
      </c>
      <c r="AQ60" s="468">
        <v>23031.429845189094</v>
      </c>
      <c r="AR60" s="468">
        <v>83725.144999614524</v>
      </c>
      <c r="AS60" s="468">
        <v>22199.335612641938</v>
      </c>
      <c r="AT60" s="468">
        <v>79959.04377574884</v>
      </c>
      <c r="AU60" s="468">
        <v>24104.105489947378</v>
      </c>
      <c r="AV60" s="468">
        <v>90817.178841315195</v>
      </c>
      <c r="AW60" s="468">
        <v>27102.524485591046</v>
      </c>
      <c r="AX60" s="468">
        <v>103444.83081070417</v>
      </c>
      <c r="AY60" s="460">
        <f>SUM(AQ60:AX60)</f>
        <v>454383.59386075218</v>
      </c>
      <c r="AZ60" s="469">
        <v>0</v>
      </c>
      <c r="BA60" s="468">
        <v>0</v>
      </c>
      <c r="BB60" s="468">
        <v>0</v>
      </c>
      <c r="BC60" s="468">
        <v>0</v>
      </c>
      <c r="BD60" s="468">
        <v>0</v>
      </c>
      <c r="BE60" s="468">
        <v>0</v>
      </c>
      <c r="BF60" s="468">
        <v>0</v>
      </c>
      <c r="BG60" s="468">
        <v>0</v>
      </c>
      <c r="BH60" s="462">
        <f>SUM(AZ60:BG60)</f>
        <v>0</v>
      </c>
      <c r="BI60" s="463">
        <f>SUM(BH60,AY60)</f>
        <v>454383.59386075218</v>
      </c>
      <c r="BJ60" s="725">
        <v>38</v>
      </c>
      <c r="BK60" s="468">
        <v>231.86003199854792</v>
      </c>
      <c r="BL60" s="468">
        <v>4024.6010169137335</v>
      </c>
      <c r="BM60" s="468">
        <v>232.04880431333035</v>
      </c>
      <c r="BN60" s="468">
        <v>3323.2217572691816</v>
      </c>
      <c r="BO60" s="468">
        <v>179.6310977674809</v>
      </c>
      <c r="BP60" s="468">
        <v>3652.6672891617291</v>
      </c>
      <c r="BQ60" s="468">
        <v>0</v>
      </c>
      <c r="BR60" s="468">
        <v>3276.1028388794325</v>
      </c>
      <c r="BS60" s="460">
        <f>SUM(BK60:BR60)</f>
        <v>14920.132836303437</v>
      </c>
      <c r="BT60" s="469">
        <v>0</v>
      </c>
      <c r="BU60" s="468">
        <v>0</v>
      </c>
      <c r="BV60" s="468">
        <v>0</v>
      </c>
      <c r="BW60" s="468">
        <v>0</v>
      </c>
      <c r="BX60" s="468">
        <v>0</v>
      </c>
      <c r="BY60" s="468">
        <v>0</v>
      </c>
      <c r="BZ60" s="468">
        <v>0</v>
      </c>
      <c r="CA60" s="468">
        <v>0</v>
      </c>
      <c r="CB60" s="462">
        <f>SUM(BT60:CA60)</f>
        <v>0</v>
      </c>
      <c r="CC60" s="463">
        <f>SUM(CB60,BS60)</f>
        <v>14920.132836303437</v>
      </c>
      <c r="CD60" s="725">
        <v>38</v>
      </c>
      <c r="CE60" s="462">
        <f t="shared" si="98"/>
        <v>158083.42695300982</v>
      </c>
      <c r="CF60" s="462">
        <f t="shared" si="99"/>
        <v>168057.42870882136</v>
      </c>
      <c r="CG60" s="462">
        <f t="shared" si="100"/>
        <v>184562.64290713478</v>
      </c>
      <c r="CH60" s="462">
        <f t="shared" si="101"/>
        <v>197421.99570647636</v>
      </c>
      <c r="CI60" s="464">
        <f t="shared" si="102"/>
        <v>708125.49427544232</v>
      </c>
      <c r="CJ60" s="462">
        <f t="shared" si="103"/>
        <v>0</v>
      </c>
      <c r="CK60" s="462">
        <f t="shared" si="104"/>
        <v>0</v>
      </c>
      <c r="CL60" s="462">
        <f t="shared" si="105"/>
        <v>0</v>
      </c>
      <c r="CM60" s="462">
        <f t="shared" si="106"/>
        <v>0</v>
      </c>
      <c r="CN60" s="464">
        <f t="shared" si="107"/>
        <v>0</v>
      </c>
      <c r="CO60" s="462">
        <f t="shared" si="108"/>
        <v>158083.42695300982</v>
      </c>
      <c r="CP60" s="462">
        <f t="shared" si="109"/>
        <v>168057.42870882136</v>
      </c>
      <c r="CQ60" s="462">
        <f t="shared" si="110"/>
        <v>184562.64290713478</v>
      </c>
      <c r="CR60" s="462">
        <f t="shared" si="111"/>
        <v>197421.99570647636</v>
      </c>
      <c r="CS60" s="464">
        <f t="shared" si="112"/>
        <v>708125.49427544232</v>
      </c>
    </row>
    <row r="61" spans="1:98" ht="15.75" customHeight="1" x14ac:dyDescent="0.25">
      <c r="A61" s="94" t="s">
        <v>286</v>
      </c>
      <c r="B61" s="725">
        <v>39</v>
      </c>
      <c r="C61" s="257">
        <v>1442.52</v>
      </c>
      <c r="D61" s="257">
        <v>11279.55</v>
      </c>
      <c r="E61" s="257">
        <v>2684.41</v>
      </c>
      <c r="F61" s="257">
        <v>17205.888403140281</v>
      </c>
      <c r="G61" s="257">
        <v>3072.13</v>
      </c>
      <c r="H61" s="257">
        <v>18215.579601151825</v>
      </c>
      <c r="I61" s="257">
        <v>1994.28</v>
      </c>
      <c r="J61" s="257">
        <v>13787.048205496656</v>
      </c>
      <c r="K61" s="460">
        <f t="shared" si="86"/>
        <v>69681.406209788751</v>
      </c>
      <c r="L61" s="465">
        <v>0</v>
      </c>
      <c r="M61" s="257">
        <v>58772.33</v>
      </c>
      <c r="N61" s="257">
        <v>0</v>
      </c>
      <c r="O61" s="257">
        <v>91012.314488644726</v>
      </c>
      <c r="P61" s="257">
        <v>0</v>
      </c>
      <c r="Q61" s="257">
        <v>93809.33</v>
      </c>
      <c r="R61" s="257">
        <v>0</v>
      </c>
      <c r="S61" s="257">
        <v>94069.822549969991</v>
      </c>
      <c r="T61" s="462">
        <f t="shared" si="87"/>
        <v>337663.79703861475</v>
      </c>
      <c r="U61" s="463">
        <f t="shared" si="88"/>
        <v>407345.2032484035</v>
      </c>
      <c r="V61" s="725">
        <v>39</v>
      </c>
      <c r="W61" s="257">
        <v>1</v>
      </c>
      <c r="X61" s="257">
        <v>3251.21</v>
      </c>
      <c r="Y61" s="257">
        <v>55.88</v>
      </c>
      <c r="Z61" s="257">
        <v>2391.4299999999998</v>
      </c>
      <c r="AA61" s="257">
        <v>225.84</v>
      </c>
      <c r="AB61" s="257">
        <v>2538.75</v>
      </c>
      <c r="AC61" s="257">
        <v>195.27</v>
      </c>
      <c r="AD61" s="257">
        <v>2033.04</v>
      </c>
      <c r="AE61" s="460">
        <f t="shared" si="89"/>
        <v>10692.420000000002</v>
      </c>
      <c r="AF61" s="465">
        <v>0</v>
      </c>
      <c r="AG61" s="257">
        <v>16958.93</v>
      </c>
      <c r="AH61" s="257">
        <v>0</v>
      </c>
      <c r="AI61" s="257">
        <v>12701.31</v>
      </c>
      <c r="AJ61" s="257">
        <v>0</v>
      </c>
      <c r="AK61" s="257">
        <v>13245.82</v>
      </c>
      <c r="AL61" s="257">
        <v>0</v>
      </c>
      <c r="AM61" s="257">
        <v>13934.37</v>
      </c>
      <c r="AN61" s="462">
        <f t="shared" si="90"/>
        <v>56840.43</v>
      </c>
      <c r="AO61" s="463">
        <f t="shared" si="91"/>
        <v>67532.850000000006</v>
      </c>
      <c r="AP61" s="725">
        <v>39</v>
      </c>
      <c r="AQ61" s="257">
        <v>8645.49</v>
      </c>
      <c r="AR61" s="257">
        <v>30067.599999999999</v>
      </c>
      <c r="AS61" s="257">
        <v>8716.11</v>
      </c>
      <c r="AT61" s="257">
        <v>30566.748211235379</v>
      </c>
      <c r="AU61" s="257">
        <v>9587.65</v>
      </c>
      <c r="AV61" s="257">
        <v>34979.743922952373</v>
      </c>
      <c r="AW61" s="257">
        <v>8542.130000000001</v>
      </c>
      <c r="AX61" s="257">
        <v>31250.66</v>
      </c>
      <c r="AY61" s="460">
        <f t="shared" si="92"/>
        <v>162356.13213418773</v>
      </c>
      <c r="AZ61" s="465">
        <v>0</v>
      </c>
      <c r="BA61" s="257">
        <v>149279.78</v>
      </c>
      <c r="BB61" s="257">
        <v>0</v>
      </c>
      <c r="BC61" s="257">
        <v>152569.00004101751</v>
      </c>
      <c r="BD61" s="257">
        <v>0</v>
      </c>
      <c r="BE61" s="257">
        <v>172743.72427894949</v>
      </c>
      <c r="BF61" s="257">
        <v>0</v>
      </c>
      <c r="BG61" s="257">
        <v>200598.33000000002</v>
      </c>
      <c r="BH61" s="462">
        <f t="shared" si="93"/>
        <v>675190.83431996708</v>
      </c>
      <c r="BI61" s="463">
        <f t="shared" si="94"/>
        <v>837546.96645415481</v>
      </c>
      <c r="BJ61" s="725">
        <v>39</v>
      </c>
      <c r="BK61" s="257">
        <v>88.46</v>
      </c>
      <c r="BL61" s="257">
        <v>1434.98</v>
      </c>
      <c r="BM61" s="257">
        <v>91.33</v>
      </c>
      <c r="BN61" s="257">
        <v>1234</v>
      </c>
      <c r="BO61" s="257">
        <v>73.78</v>
      </c>
      <c r="BP61" s="257">
        <v>1377.22</v>
      </c>
      <c r="BQ61" s="257">
        <v>4</v>
      </c>
      <c r="BR61" s="257">
        <v>972.44</v>
      </c>
      <c r="BS61" s="460">
        <f t="shared" si="95"/>
        <v>5276.2100000000009</v>
      </c>
      <c r="BT61" s="465">
        <v>0</v>
      </c>
      <c r="BU61" s="257">
        <v>7126.07</v>
      </c>
      <c r="BV61" s="257">
        <v>0</v>
      </c>
      <c r="BW61" s="257">
        <v>6284.91</v>
      </c>
      <c r="BX61" s="257">
        <v>0</v>
      </c>
      <c r="BY61" s="257">
        <v>6894.3</v>
      </c>
      <c r="BZ61" s="257">
        <v>0</v>
      </c>
      <c r="CA61" s="257">
        <v>6329.13</v>
      </c>
      <c r="CB61" s="462">
        <f t="shared" si="96"/>
        <v>26634.41</v>
      </c>
      <c r="CC61" s="463">
        <f t="shared" si="97"/>
        <v>31910.620000000003</v>
      </c>
      <c r="CD61" s="725">
        <v>39</v>
      </c>
      <c r="CE61" s="462">
        <f t="shared" si="98"/>
        <v>56210.81</v>
      </c>
      <c r="CF61" s="462">
        <f t="shared" si="99"/>
        <v>62945.796614375664</v>
      </c>
      <c r="CG61" s="462">
        <f t="shared" si="100"/>
        <v>70070.693524104194</v>
      </c>
      <c r="CH61" s="462">
        <f t="shared" si="101"/>
        <v>58778.868205496663</v>
      </c>
      <c r="CI61" s="464">
        <f t="shared" si="102"/>
        <v>248006.16834397646</v>
      </c>
      <c r="CJ61" s="462">
        <f t="shared" si="103"/>
        <v>232137.11000000002</v>
      </c>
      <c r="CK61" s="462">
        <f t="shared" si="104"/>
        <v>262567.53452966223</v>
      </c>
      <c r="CL61" s="462">
        <f t="shared" si="105"/>
        <v>286693.17427894945</v>
      </c>
      <c r="CM61" s="462">
        <f t="shared" si="106"/>
        <v>314931.65254997002</v>
      </c>
      <c r="CN61" s="464">
        <f t="shared" si="107"/>
        <v>1096329.4713585817</v>
      </c>
      <c r="CO61" s="462">
        <f t="shared" si="108"/>
        <v>288347.92000000004</v>
      </c>
      <c r="CP61" s="462">
        <f t="shared" si="109"/>
        <v>325513.33114403789</v>
      </c>
      <c r="CQ61" s="462">
        <f t="shared" si="110"/>
        <v>356763.8678030537</v>
      </c>
      <c r="CR61" s="462">
        <f t="shared" si="111"/>
        <v>373710.52075546666</v>
      </c>
      <c r="CS61" s="464">
        <f t="shared" si="112"/>
        <v>1344335.6397025583</v>
      </c>
      <c r="CT61" s="362"/>
    </row>
    <row r="62" spans="1:98" ht="15.75" customHeight="1" x14ac:dyDescent="0.25">
      <c r="A62" s="94" t="s">
        <v>317</v>
      </c>
      <c r="B62" s="725">
        <v>40</v>
      </c>
      <c r="C62" s="257"/>
      <c r="D62" s="257"/>
      <c r="E62" s="257"/>
      <c r="F62" s="257"/>
      <c r="G62" s="257"/>
      <c r="H62" s="257"/>
      <c r="I62" s="257"/>
      <c r="J62" s="257"/>
      <c r="K62" s="460">
        <f t="shared" si="86"/>
        <v>0</v>
      </c>
      <c r="L62" s="465"/>
      <c r="M62" s="257"/>
      <c r="N62" s="257"/>
      <c r="O62" s="257"/>
      <c r="P62" s="257"/>
      <c r="Q62" s="257"/>
      <c r="R62" s="257"/>
      <c r="S62" s="257"/>
      <c r="T62" s="462">
        <f t="shared" si="87"/>
        <v>0</v>
      </c>
      <c r="U62" s="463">
        <f t="shared" si="88"/>
        <v>0</v>
      </c>
      <c r="V62" s="725">
        <v>40</v>
      </c>
      <c r="W62" s="257"/>
      <c r="X62" s="257"/>
      <c r="Y62" s="257"/>
      <c r="Z62" s="257"/>
      <c r="AA62" s="257"/>
      <c r="AB62" s="257"/>
      <c r="AC62" s="257"/>
      <c r="AD62" s="257"/>
      <c r="AE62" s="460">
        <f t="shared" si="89"/>
        <v>0</v>
      </c>
      <c r="AF62" s="465"/>
      <c r="AG62" s="257"/>
      <c r="AH62" s="257"/>
      <c r="AI62" s="257"/>
      <c r="AJ62" s="257"/>
      <c r="AK62" s="257"/>
      <c r="AL62" s="257"/>
      <c r="AM62" s="257"/>
      <c r="AN62" s="462">
        <f t="shared" si="90"/>
        <v>0</v>
      </c>
      <c r="AO62" s="463">
        <f t="shared" si="91"/>
        <v>0</v>
      </c>
      <c r="AP62" s="725">
        <v>40</v>
      </c>
      <c r="AQ62" s="257"/>
      <c r="AR62" s="257"/>
      <c r="AS62" s="257"/>
      <c r="AT62" s="257"/>
      <c r="AU62" s="257"/>
      <c r="AV62" s="257"/>
      <c r="AW62" s="257"/>
      <c r="AX62" s="257"/>
      <c r="AY62" s="460">
        <f t="shared" si="92"/>
        <v>0</v>
      </c>
      <c r="AZ62" s="465"/>
      <c r="BA62" s="257"/>
      <c r="BB62" s="257"/>
      <c r="BC62" s="257"/>
      <c r="BD62" s="257"/>
      <c r="BE62" s="257"/>
      <c r="BF62" s="257"/>
      <c r="BG62" s="257"/>
      <c r="BH62" s="462">
        <f t="shared" si="93"/>
        <v>0</v>
      </c>
      <c r="BI62" s="463">
        <f t="shared" si="94"/>
        <v>0</v>
      </c>
      <c r="BJ62" s="725">
        <v>40</v>
      </c>
      <c r="BK62" s="257"/>
      <c r="BL62" s="257"/>
      <c r="BM62" s="257"/>
      <c r="BN62" s="257"/>
      <c r="BO62" s="257"/>
      <c r="BP62" s="257"/>
      <c r="BQ62" s="257"/>
      <c r="BR62" s="257"/>
      <c r="BS62" s="460">
        <f t="shared" si="95"/>
        <v>0</v>
      </c>
      <c r="BT62" s="465"/>
      <c r="BU62" s="257"/>
      <c r="BV62" s="257"/>
      <c r="BW62" s="257"/>
      <c r="BX62" s="257"/>
      <c r="BY62" s="257"/>
      <c r="BZ62" s="257"/>
      <c r="CA62" s="257"/>
      <c r="CB62" s="462">
        <f t="shared" si="96"/>
        <v>0</v>
      </c>
      <c r="CC62" s="463">
        <f t="shared" si="97"/>
        <v>0</v>
      </c>
      <c r="CD62" s="725">
        <v>40</v>
      </c>
      <c r="CE62" s="462">
        <f t="shared" si="98"/>
        <v>0</v>
      </c>
      <c r="CF62" s="462">
        <f t="shared" si="99"/>
        <v>0</v>
      </c>
      <c r="CG62" s="462">
        <f t="shared" si="100"/>
        <v>0</v>
      </c>
      <c r="CH62" s="462">
        <f t="shared" si="101"/>
        <v>0</v>
      </c>
      <c r="CI62" s="464">
        <f t="shared" si="102"/>
        <v>0</v>
      </c>
      <c r="CJ62" s="462">
        <f t="shared" si="103"/>
        <v>0</v>
      </c>
      <c r="CK62" s="462">
        <f t="shared" si="104"/>
        <v>0</v>
      </c>
      <c r="CL62" s="462">
        <f t="shared" si="105"/>
        <v>0</v>
      </c>
      <c r="CM62" s="462">
        <f t="shared" si="106"/>
        <v>0</v>
      </c>
      <c r="CN62" s="464">
        <f t="shared" si="107"/>
        <v>0</v>
      </c>
      <c r="CO62" s="462">
        <f t="shared" si="108"/>
        <v>0</v>
      </c>
      <c r="CP62" s="462">
        <f t="shared" si="109"/>
        <v>0</v>
      </c>
      <c r="CQ62" s="462">
        <f t="shared" si="110"/>
        <v>0</v>
      </c>
      <c r="CR62" s="462">
        <f t="shared" si="111"/>
        <v>0</v>
      </c>
      <c r="CS62" s="464">
        <f t="shared" si="112"/>
        <v>0</v>
      </c>
    </row>
    <row r="63" spans="1:98" ht="15.75" customHeight="1" x14ac:dyDescent="0.25">
      <c r="A63" s="94" t="s">
        <v>242</v>
      </c>
      <c r="B63" s="725">
        <v>41</v>
      </c>
      <c r="C63" s="257"/>
      <c r="D63" s="257"/>
      <c r="E63" s="257"/>
      <c r="F63" s="257"/>
      <c r="G63" s="257"/>
      <c r="H63" s="257"/>
      <c r="I63" s="257"/>
      <c r="J63" s="257"/>
      <c r="K63" s="460">
        <f t="shared" si="86"/>
        <v>0</v>
      </c>
      <c r="L63" s="465"/>
      <c r="M63" s="257"/>
      <c r="N63" s="257"/>
      <c r="O63" s="257"/>
      <c r="P63" s="257"/>
      <c r="Q63" s="257"/>
      <c r="R63" s="257"/>
      <c r="S63" s="257"/>
      <c r="T63" s="462">
        <f t="shared" si="87"/>
        <v>0</v>
      </c>
      <c r="U63" s="463">
        <f t="shared" si="88"/>
        <v>0</v>
      </c>
      <c r="V63" s="725">
        <v>41</v>
      </c>
      <c r="W63" s="257"/>
      <c r="X63" s="257"/>
      <c r="Y63" s="257"/>
      <c r="Z63" s="257"/>
      <c r="AA63" s="257"/>
      <c r="AB63" s="257"/>
      <c r="AC63" s="257"/>
      <c r="AD63" s="257"/>
      <c r="AE63" s="460">
        <f t="shared" si="89"/>
        <v>0</v>
      </c>
      <c r="AF63" s="465"/>
      <c r="AG63" s="257"/>
      <c r="AH63" s="257"/>
      <c r="AI63" s="257"/>
      <c r="AJ63" s="257"/>
      <c r="AK63" s="257"/>
      <c r="AL63" s="257"/>
      <c r="AM63" s="257"/>
      <c r="AN63" s="462">
        <f t="shared" si="90"/>
        <v>0</v>
      </c>
      <c r="AO63" s="463">
        <f t="shared" si="91"/>
        <v>0</v>
      </c>
      <c r="AP63" s="725">
        <v>41</v>
      </c>
      <c r="AQ63" s="257"/>
      <c r="AR63" s="257"/>
      <c r="AS63" s="257"/>
      <c r="AT63" s="257"/>
      <c r="AU63" s="257"/>
      <c r="AV63" s="257"/>
      <c r="AW63" s="257"/>
      <c r="AX63" s="257"/>
      <c r="AY63" s="460">
        <f t="shared" si="92"/>
        <v>0</v>
      </c>
      <c r="AZ63" s="465"/>
      <c r="BA63" s="257"/>
      <c r="BB63" s="257"/>
      <c r="BC63" s="257"/>
      <c r="BD63" s="257"/>
      <c r="BE63" s="257"/>
      <c r="BF63" s="257"/>
      <c r="BG63" s="257"/>
      <c r="BH63" s="462">
        <f t="shared" si="93"/>
        <v>0</v>
      </c>
      <c r="BI63" s="463">
        <f t="shared" si="94"/>
        <v>0</v>
      </c>
      <c r="BJ63" s="725">
        <v>41</v>
      </c>
      <c r="BK63" s="257"/>
      <c r="BL63" s="257"/>
      <c r="BM63" s="257"/>
      <c r="BN63" s="257"/>
      <c r="BO63" s="257"/>
      <c r="BP63" s="257"/>
      <c r="BQ63" s="257"/>
      <c r="BR63" s="257"/>
      <c r="BS63" s="460">
        <f t="shared" si="95"/>
        <v>0</v>
      </c>
      <c r="BT63" s="465"/>
      <c r="BU63" s="257"/>
      <c r="BV63" s="257"/>
      <c r="BW63" s="257"/>
      <c r="BX63" s="257"/>
      <c r="BY63" s="257"/>
      <c r="BZ63" s="257"/>
      <c r="CA63" s="257"/>
      <c r="CB63" s="462">
        <f t="shared" si="96"/>
        <v>0</v>
      </c>
      <c r="CC63" s="463">
        <f t="shared" si="97"/>
        <v>0</v>
      </c>
      <c r="CD63" s="725">
        <v>41</v>
      </c>
      <c r="CE63" s="462">
        <f t="shared" si="98"/>
        <v>0</v>
      </c>
      <c r="CF63" s="462">
        <f t="shared" si="99"/>
        <v>0</v>
      </c>
      <c r="CG63" s="462">
        <f t="shared" si="100"/>
        <v>0</v>
      </c>
      <c r="CH63" s="462">
        <f t="shared" si="101"/>
        <v>0</v>
      </c>
      <c r="CI63" s="464">
        <f t="shared" si="102"/>
        <v>0</v>
      </c>
      <c r="CJ63" s="462">
        <f t="shared" si="103"/>
        <v>0</v>
      </c>
      <c r="CK63" s="462">
        <f t="shared" si="104"/>
        <v>0</v>
      </c>
      <c r="CL63" s="462">
        <f t="shared" si="105"/>
        <v>0</v>
      </c>
      <c r="CM63" s="462">
        <f t="shared" si="106"/>
        <v>0</v>
      </c>
      <c r="CN63" s="464">
        <f t="shared" si="107"/>
        <v>0</v>
      </c>
      <c r="CO63" s="462">
        <f t="shared" si="108"/>
        <v>0</v>
      </c>
      <c r="CP63" s="462">
        <f t="shared" si="109"/>
        <v>0</v>
      </c>
      <c r="CQ63" s="462">
        <f t="shared" si="110"/>
        <v>0</v>
      </c>
      <c r="CR63" s="462">
        <f t="shared" si="111"/>
        <v>0</v>
      </c>
      <c r="CS63" s="464">
        <f t="shared" si="112"/>
        <v>0</v>
      </c>
    </row>
    <row r="64" spans="1:98" ht="15.75" customHeight="1" x14ac:dyDescent="0.25">
      <c r="A64" s="724" t="s">
        <v>1447</v>
      </c>
      <c r="B64" s="725">
        <v>42</v>
      </c>
      <c r="C64" s="257"/>
      <c r="D64" s="257"/>
      <c r="E64" s="257"/>
      <c r="F64" s="257"/>
      <c r="G64" s="257"/>
      <c r="H64" s="257"/>
      <c r="I64" s="257"/>
      <c r="J64" s="257"/>
      <c r="K64" s="460">
        <f t="shared" si="86"/>
        <v>0</v>
      </c>
      <c r="L64" s="465"/>
      <c r="M64" s="257"/>
      <c r="N64" s="257"/>
      <c r="O64" s="257"/>
      <c r="P64" s="257"/>
      <c r="Q64" s="257"/>
      <c r="R64" s="257"/>
      <c r="S64" s="257"/>
      <c r="T64" s="462">
        <f t="shared" si="87"/>
        <v>0</v>
      </c>
      <c r="U64" s="463">
        <f t="shared" si="88"/>
        <v>0</v>
      </c>
      <c r="V64" s="725">
        <v>42</v>
      </c>
      <c r="W64" s="257"/>
      <c r="X64" s="257"/>
      <c r="Y64" s="257"/>
      <c r="Z64" s="257"/>
      <c r="AA64" s="257"/>
      <c r="AB64" s="257"/>
      <c r="AC64" s="257"/>
      <c r="AD64" s="257"/>
      <c r="AE64" s="460">
        <f t="shared" si="89"/>
        <v>0</v>
      </c>
      <c r="AF64" s="465"/>
      <c r="AG64" s="257"/>
      <c r="AH64" s="257"/>
      <c r="AI64" s="257"/>
      <c r="AJ64" s="257"/>
      <c r="AK64" s="257"/>
      <c r="AL64" s="257"/>
      <c r="AM64" s="257"/>
      <c r="AN64" s="462">
        <f t="shared" si="90"/>
        <v>0</v>
      </c>
      <c r="AO64" s="463">
        <f t="shared" si="91"/>
        <v>0</v>
      </c>
      <c r="AP64" s="725">
        <v>42</v>
      </c>
      <c r="AQ64" s="257"/>
      <c r="AR64" s="257"/>
      <c r="AS64" s="257"/>
      <c r="AT64" s="257"/>
      <c r="AU64" s="257"/>
      <c r="AV64" s="257"/>
      <c r="AW64" s="257"/>
      <c r="AX64" s="257"/>
      <c r="AY64" s="460">
        <f t="shared" si="92"/>
        <v>0</v>
      </c>
      <c r="AZ64" s="465"/>
      <c r="BA64" s="257"/>
      <c r="BB64" s="257"/>
      <c r="BC64" s="257"/>
      <c r="BD64" s="257"/>
      <c r="BE64" s="257"/>
      <c r="BF64" s="257"/>
      <c r="BG64" s="257"/>
      <c r="BH64" s="462">
        <f t="shared" si="93"/>
        <v>0</v>
      </c>
      <c r="BI64" s="463">
        <f t="shared" si="94"/>
        <v>0</v>
      </c>
      <c r="BJ64" s="725">
        <v>42</v>
      </c>
      <c r="BK64" s="257"/>
      <c r="BL64" s="257"/>
      <c r="BM64" s="257"/>
      <c r="BN64" s="257"/>
      <c r="BO64" s="257"/>
      <c r="BP64" s="257"/>
      <c r="BQ64" s="257"/>
      <c r="BR64" s="257"/>
      <c r="BS64" s="460">
        <f t="shared" si="95"/>
        <v>0</v>
      </c>
      <c r="BT64" s="465"/>
      <c r="BU64" s="257"/>
      <c r="BV64" s="257"/>
      <c r="BW64" s="257"/>
      <c r="BX64" s="257"/>
      <c r="BY64" s="257"/>
      <c r="BZ64" s="257"/>
      <c r="CA64" s="257"/>
      <c r="CB64" s="462">
        <f t="shared" si="96"/>
        <v>0</v>
      </c>
      <c r="CC64" s="463">
        <f t="shared" si="97"/>
        <v>0</v>
      </c>
      <c r="CD64" s="725">
        <v>42</v>
      </c>
      <c r="CE64" s="462">
        <f t="shared" si="98"/>
        <v>0</v>
      </c>
      <c r="CF64" s="462">
        <f t="shared" si="99"/>
        <v>0</v>
      </c>
      <c r="CG64" s="462">
        <f t="shared" si="100"/>
        <v>0</v>
      </c>
      <c r="CH64" s="462">
        <f t="shared" si="101"/>
        <v>0</v>
      </c>
      <c r="CI64" s="464">
        <f t="shared" si="102"/>
        <v>0</v>
      </c>
      <c r="CJ64" s="462">
        <f t="shared" si="103"/>
        <v>0</v>
      </c>
      <c r="CK64" s="462">
        <f t="shared" si="104"/>
        <v>0</v>
      </c>
      <c r="CL64" s="462">
        <f t="shared" si="105"/>
        <v>0</v>
      </c>
      <c r="CM64" s="462">
        <f t="shared" si="106"/>
        <v>0</v>
      </c>
      <c r="CN64" s="464">
        <f t="shared" si="107"/>
        <v>0</v>
      </c>
      <c r="CO64" s="462">
        <f t="shared" si="108"/>
        <v>0</v>
      </c>
      <c r="CP64" s="462">
        <f t="shared" si="109"/>
        <v>0</v>
      </c>
      <c r="CQ64" s="462">
        <f t="shared" si="110"/>
        <v>0</v>
      </c>
      <c r="CR64" s="462">
        <f t="shared" si="111"/>
        <v>0</v>
      </c>
      <c r="CS64" s="464">
        <f t="shared" si="112"/>
        <v>0</v>
      </c>
    </row>
    <row r="65" spans="1:131" ht="15.75" customHeight="1" x14ac:dyDescent="0.25">
      <c r="A65" s="94"/>
      <c r="B65" s="725"/>
      <c r="C65" s="207" t="s">
        <v>32</v>
      </c>
      <c r="D65" s="207" t="s">
        <v>32</v>
      </c>
      <c r="E65" s="207" t="s">
        <v>32</v>
      </c>
      <c r="F65" s="207" t="s">
        <v>32</v>
      </c>
      <c r="G65" s="207" t="s">
        <v>32</v>
      </c>
      <c r="H65" s="207" t="s">
        <v>32</v>
      </c>
      <c r="I65" s="207" t="s">
        <v>32</v>
      </c>
      <c r="J65" s="207" t="s">
        <v>32</v>
      </c>
      <c r="K65" s="426"/>
      <c r="L65" s="427" t="s">
        <v>32</v>
      </c>
      <c r="M65" s="207" t="s">
        <v>32</v>
      </c>
      <c r="N65" s="207" t="s">
        <v>32</v>
      </c>
      <c r="O65" s="207" t="s">
        <v>32</v>
      </c>
      <c r="P65" s="207" t="s">
        <v>32</v>
      </c>
      <c r="Q65" s="207" t="s">
        <v>32</v>
      </c>
      <c r="R65" s="207" t="s">
        <v>32</v>
      </c>
      <c r="S65" s="207" t="s">
        <v>32</v>
      </c>
      <c r="T65" s="428"/>
      <c r="U65" s="427" t="s">
        <v>32</v>
      </c>
      <c r="V65" s="725"/>
      <c r="W65" s="207" t="s">
        <v>32</v>
      </c>
      <c r="X65" s="207" t="s">
        <v>32</v>
      </c>
      <c r="Y65" s="207" t="s">
        <v>32</v>
      </c>
      <c r="Z65" s="207" t="s">
        <v>32</v>
      </c>
      <c r="AA65" s="207" t="s">
        <v>32</v>
      </c>
      <c r="AB65" s="207" t="s">
        <v>32</v>
      </c>
      <c r="AC65" s="207" t="s">
        <v>32</v>
      </c>
      <c r="AD65" s="207" t="s">
        <v>32</v>
      </c>
      <c r="AE65" s="426"/>
      <c r="AF65" s="427" t="s">
        <v>32</v>
      </c>
      <c r="AG65" s="207" t="s">
        <v>32</v>
      </c>
      <c r="AH65" s="207" t="s">
        <v>32</v>
      </c>
      <c r="AI65" s="207" t="s">
        <v>32</v>
      </c>
      <c r="AJ65" s="207" t="s">
        <v>32</v>
      </c>
      <c r="AK65" s="207" t="s">
        <v>32</v>
      </c>
      <c r="AL65" s="207" t="s">
        <v>32</v>
      </c>
      <c r="AM65" s="207" t="s">
        <v>32</v>
      </c>
      <c r="AN65" s="428"/>
      <c r="AO65" s="427" t="s">
        <v>32</v>
      </c>
      <c r="AP65" s="725"/>
      <c r="AQ65" s="207" t="s">
        <v>32</v>
      </c>
      <c r="AR65" s="207" t="s">
        <v>32</v>
      </c>
      <c r="AS65" s="207" t="s">
        <v>32</v>
      </c>
      <c r="AT65" s="207" t="s">
        <v>32</v>
      </c>
      <c r="AU65" s="207" t="s">
        <v>32</v>
      </c>
      <c r="AV65" s="207" t="s">
        <v>32</v>
      </c>
      <c r="AW65" s="207" t="s">
        <v>32</v>
      </c>
      <c r="AX65" s="207" t="s">
        <v>32</v>
      </c>
      <c r="AY65" s="426"/>
      <c r="AZ65" s="427" t="s">
        <v>32</v>
      </c>
      <c r="BA65" s="207" t="s">
        <v>32</v>
      </c>
      <c r="BB65" s="207" t="s">
        <v>32</v>
      </c>
      <c r="BC65" s="207" t="s">
        <v>32</v>
      </c>
      <c r="BD65" s="207" t="s">
        <v>32</v>
      </c>
      <c r="BE65" s="207" t="s">
        <v>32</v>
      </c>
      <c r="BF65" s="207" t="s">
        <v>32</v>
      </c>
      <c r="BG65" s="207" t="s">
        <v>32</v>
      </c>
      <c r="BH65" s="428"/>
      <c r="BI65" s="427" t="s">
        <v>32</v>
      </c>
      <c r="BJ65" s="725"/>
      <c r="BK65" s="207" t="s">
        <v>32</v>
      </c>
      <c r="BL65" s="207" t="s">
        <v>32</v>
      </c>
      <c r="BM65" s="207" t="s">
        <v>32</v>
      </c>
      <c r="BN65" s="207" t="s">
        <v>32</v>
      </c>
      <c r="BO65" s="207" t="s">
        <v>32</v>
      </c>
      <c r="BP65" s="207" t="s">
        <v>32</v>
      </c>
      <c r="BQ65" s="207" t="s">
        <v>32</v>
      </c>
      <c r="BR65" s="207" t="s">
        <v>32</v>
      </c>
      <c r="BS65" s="426"/>
      <c r="BT65" s="427" t="s">
        <v>32</v>
      </c>
      <c r="BU65" s="207" t="s">
        <v>32</v>
      </c>
      <c r="BV65" s="207" t="s">
        <v>32</v>
      </c>
      <c r="BW65" s="207" t="s">
        <v>32</v>
      </c>
      <c r="BX65" s="207" t="s">
        <v>32</v>
      </c>
      <c r="BY65" s="207" t="s">
        <v>32</v>
      </c>
      <c r="BZ65" s="207" t="s">
        <v>32</v>
      </c>
      <c r="CA65" s="207" t="s">
        <v>32</v>
      </c>
      <c r="CB65" s="428"/>
      <c r="CC65" s="427" t="s">
        <v>32</v>
      </c>
      <c r="CD65" s="725"/>
      <c r="CE65" s="428"/>
      <c r="CF65" s="428"/>
      <c r="CG65" s="428"/>
      <c r="CH65" s="428"/>
      <c r="CI65" s="207"/>
      <c r="CJ65" s="428"/>
      <c r="CK65" s="428"/>
      <c r="CL65" s="428"/>
      <c r="CM65" s="428"/>
      <c r="CN65" s="207"/>
      <c r="CO65" s="428"/>
      <c r="CP65" s="428"/>
      <c r="CQ65" s="428"/>
      <c r="CR65" s="428"/>
      <c r="CS65" s="207"/>
    </row>
    <row r="66" spans="1:131" s="17" customFormat="1" ht="15.75" customHeight="1" x14ac:dyDescent="0.25">
      <c r="A66" s="19" t="s">
        <v>420</v>
      </c>
      <c r="B66" s="725">
        <v>43</v>
      </c>
      <c r="C66" s="236">
        <f>SUM(C35:C64)-C44-C46</f>
        <v>33948.476783179925</v>
      </c>
      <c r="D66" s="236">
        <f t="shared" ref="D66:U66" si="118">SUM(D35:D64)-D44-D46</f>
        <v>230987.63581671371</v>
      </c>
      <c r="E66" s="236">
        <f t="shared" si="118"/>
        <v>309630.45487726841</v>
      </c>
      <c r="F66" s="236">
        <f t="shared" si="118"/>
        <v>560059.49120446702</v>
      </c>
      <c r="G66" s="236">
        <f t="shared" si="118"/>
        <v>233598.00034010544</v>
      </c>
      <c r="H66" s="236">
        <f t="shared" si="118"/>
        <v>535405.78552450845</v>
      </c>
      <c r="I66" s="236">
        <f t="shared" si="118"/>
        <v>195982.09823534408</v>
      </c>
      <c r="J66" s="236">
        <f t="shared" si="118"/>
        <v>442747.49964371114</v>
      </c>
      <c r="K66" s="241">
        <f t="shared" si="118"/>
        <v>2542359.4424252976</v>
      </c>
      <c r="L66" s="238">
        <f t="shared" si="118"/>
        <v>0</v>
      </c>
      <c r="M66" s="238">
        <f t="shared" si="118"/>
        <v>326745.61097845971</v>
      </c>
      <c r="N66" s="238">
        <f t="shared" si="118"/>
        <v>0</v>
      </c>
      <c r="O66" s="238">
        <f t="shared" si="118"/>
        <v>759099.64840992028</v>
      </c>
      <c r="P66" s="238">
        <f t="shared" si="118"/>
        <v>0</v>
      </c>
      <c r="Q66" s="238">
        <f t="shared" si="118"/>
        <v>821174.89292756852</v>
      </c>
      <c r="R66" s="238">
        <f t="shared" si="118"/>
        <v>0</v>
      </c>
      <c r="S66" s="238">
        <f t="shared" si="118"/>
        <v>798653.64725077688</v>
      </c>
      <c r="T66" s="239">
        <f t="shared" si="118"/>
        <v>2705673.7995667257</v>
      </c>
      <c r="U66" s="238">
        <f t="shared" si="118"/>
        <v>5248033.2419920238</v>
      </c>
      <c r="V66" s="725">
        <v>43</v>
      </c>
      <c r="W66" s="236">
        <f>SUM(W35:W64)-W44-W46</f>
        <v>6390.1489829814809</v>
      </c>
      <c r="X66" s="236">
        <f t="shared" ref="X66:AO66" si="119">SUM(X35:X64)-X44-X46</f>
        <v>62472.607989273274</v>
      </c>
      <c r="Y66" s="236">
        <f t="shared" si="119"/>
        <v>6560.6900777674036</v>
      </c>
      <c r="Z66" s="236">
        <f t="shared" si="119"/>
        <v>35312.595966883811</v>
      </c>
      <c r="AA66" s="236">
        <f t="shared" si="119"/>
        <v>20249.144609227853</v>
      </c>
      <c r="AB66" s="236">
        <f t="shared" si="119"/>
        <v>33854.750886463633</v>
      </c>
      <c r="AC66" s="236">
        <f t="shared" si="119"/>
        <v>6122.8469897499035</v>
      </c>
      <c r="AD66" s="236">
        <f t="shared" si="119"/>
        <v>33896.366710071889</v>
      </c>
      <c r="AE66" s="241">
        <f t="shared" si="119"/>
        <v>204859.15221241926</v>
      </c>
      <c r="AF66" s="238">
        <f t="shared" si="119"/>
        <v>0</v>
      </c>
      <c r="AG66" s="238">
        <f t="shared" si="119"/>
        <v>190654.17905335999</v>
      </c>
      <c r="AH66" s="238">
        <f t="shared" si="119"/>
        <v>0</v>
      </c>
      <c r="AI66" s="238">
        <f t="shared" si="119"/>
        <v>103527.79831508183</v>
      </c>
      <c r="AJ66" s="238">
        <f t="shared" si="119"/>
        <v>0</v>
      </c>
      <c r="AK66" s="238">
        <f t="shared" si="119"/>
        <v>78108.334554567104</v>
      </c>
      <c r="AL66" s="238">
        <f t="shared" si="119"/>
        <v>0</v>
      </c>
      <c r="AM66" s="238">
        <f t="shared" si="119"/>
        <v>85223.018591773114</v>
      </c>
      <c r="AN66" s="239">
        <f t="shared" si="119"/>
        <v>457513.33051478222</v>
      </c>
      <c r="AO66" s="238">
        <f t="shared" si="119"/>
        <v>662372.48272720119</v>
      </c>
      <c r="AP66" s="725">
        <v>43</v>
      </c>
      <c r="AQ66" s="236">
        <f>SUM(AQ35:AQ64)-AQ44-AQ46</f>
        <v>1204215.3679675388</v>
      </c>
      <c r="AR66" s="236">
        <f t="shared" ref="AR66:BI66" si="120">SUM(AR35:AR64)-AR44-AR46</f>
        <v>2645770.5749996109</v>
      </c>
      <c r="AS66" s="236">
        <f t="shared" si="120"/>
        <v>1045994.4622726871</v>
      </c>
      <c r="AT66" s="236">
        <f t="shared" si="120"/>
        <v>2439399.9914851063</v>
      </c>
      <c r="AU66" s="236">
        <f t="shared" si="120"/>
        <v>1311431.4643710314</v>
      </c>
      <c r="AV66" s="236">
        <f t="shared" si="120"/>
        <v>2688099.5063696094</v>
      </c>
      <c r="AW66" s="236">
        <f t="shared" si="120"/>
        <v>1627984.7882081287</v>
      </c>
      <c r="AX66" s="236">
        <f t="shared" si="120"/>
        <v>2996657.8797163777</v>
      </c>
      <c r="AY66" s="241">
        <f t="shared" si="120"/>
        <v>15959554.035390092</v>
      </c>
      <c r="AZ66" s="238">
        <f t="shared" si="120"/>
        <v>0</v>
      </c>
      <c r="BA66" s="238">
        <f t="shared" si="120"/>
        <v>2399704.2534962622</v>
      </c>
      <c r="BB66" s="238">
        <f t="shared" si="120"/>
        <v>0</v>
      </c>
      <c r="BC66" s="238">
        <f t="shared" si="120"/>
        <v>2300271.0547639225</v>
      </c>
      <c r="BD66" s="238">
        <f t="shared" si="120"/>
        <v>0</v>
      </c>
      <c r="BE66" s="238">
        <f t="shared" si="120"/>
        <v>2585439.6566604283</v>
      </c>
      <c r="BF66" s="238">
        <f t="shared" si="120"/>
        <v>0</v>
      </c>
      <c r="BG66" s="238">
        <f t="shared" si="120"/>
        <v>2746180.7388857547</v>
      </c>
      <c r="BH66" s="239">
        <f t="shared" si="120"/>
        <v>10031595.703806369</v>
      </c>
      <c r="BI66" s="238">
        <f t="shared" si="120"/>
        <v>25991149.739196457</v>
      </c>
      <c r="BJ66" s="725">
        <v>43</v>
      </c>
      <c r="BK66" s="236">
        <f>SUM(BK35:BK64)-BK44-BK46</f>
        <v>60118.550031998471</v>
      </c>
      <c r="BL66" s="236">
        <f t="shared" ref="BL66:CR66" si="121">SUM(BL35:BL64)-BL44-BL46</f>
        <v>435067.04101691319</v>
      </c>
      <c r="BM66" s="236">
        <f t="shared" si="121"/>
        <v>53853.441201159774</v>
      </c>
      <c r="BN66" s="236">
        <f t="shared" si="121"/>
        <v>327410.47934581107</v>
      </c>
      <c r="BO66" s="236">
        <f t="shared" si="121"/>
        <v>50552.695547710195</v>
      </c>
      <c r="BP66" s="236">
        <f t="shared" si="121"/>
        <v>357306.83206589043</v>
      </c>
      <c r="BQ66" s="236">
        <f t="shared" si="121"/>
        <v>26314.29280365273</v>
      </c>
      <c r="BR66" s="236">
        <f t="shared" si="121"/>
        <v>321282.57198257546</v>
      </c>
      <c r="BS66" s="241">
        <f t="shared" si="121"/>
        <v>1631905.9039957116</v>
      </c>
      <c r="BT66" s="238">
        <f t="shared" si="121"/>
        <v>0</v>
      </c>
      <c r="BU66" s="238">
        <f t="shared" si="121"/>
        <v>110509.77987203367</v>
      </c>
      <c r="BV66" s="238">
        <f t="shared" si="121"/>
        <v>0</v>
      </c>
      <c r="BW66" s="238">
        <f t="shared" si="121"/>
        <v>137352.49970069694</v>
      </c>
      <c r="BX66" s="238">
        <f t="shared" si="121"/>
        <v>0</v>
      </c>
      <c r="BY66" s="238">
        <f t="shared" si="121"/>
        <v>116618.09420076296</v>
      </c>
      <c r="BZ66" s="238">
        <f t="shared" si="121"/>
        <v>0</v>
      </c>
      <c r="CA66" s="238">
        <f t="shared" si="121"/>
        <v>185246.78911219464</v>
      </c>
      <c r="CB66" s="239">
        <f t="shared" si="121"/>
        <v>549727.16288568825</v>
      </c>
      <c r="CC66" s="238">
        <f t="shared" si="121"/>
        <v>2181633.0668813996</v>
      </c>
      <c r="CD66" s="725">
        <v>43</v>
      </c>
      <c r="CE66" s="239">
        <f t="shared" ref="CE66:CH66" si="122">SUM(CE35:CE64)-CE44-CE46</f>
        <v>4678970.4035882102</v>
      </c>
      <c r="CF66" s="239">
        <f t="shared" si="122"/>
        <v>4778221.6064311517</v>
      </c>
      <c r="CG66" s="239">
        <f t="shared" si="122"/>
        <v>5230498.1797145465</v>
      </c>
      <c r="CH66" s="239">
        <f t="shared" si="122"/>
        <v>5650988.344289612</v>
      </c>
      <c r="CI66" s="236">
        <f>SUM(BS66,AY66,AE66,K66)</f>
        <v>20338678.534023523</v>
      </c>
      <c r="CJ66" s="239">
        <f t="shared" ref="CJ66:CM66" si="123">SUM(CJ35:CJ64)-CJ44-CJ46</f>
        <v>3027613.8234001156</v>
      </c>
      <c r="CK66" s="239">
        <f t="shared" si="123"/>
        <v>3300251.001189623</v>
      </c>
      <c r="CL66" s="239">
        <f t="shared" si="123"/>
        <v>3601340.9783433275</v>
      </c>
      <c r="CM66" s="239">
        <f t="shared" si="123"/>
        <v>3815304.1938405</v>
      </c>
      <c r="CN66" s="236">
        <f>SUM(BX66,BD66,AJ66,P66)</f>
        <v>0</v>
      </c>
      <c r="CO66" s="239">
        <f t="shared" si="121"/>
        <v>7706584.2269883249</v>
      </c>
      <c r="CP66" s="239">
        <f t="shared" si="121"/>
        <v>8078472.6076207738</v>
      </c>
      <c r="CQ66" s="239">
        <f t="shared" si="121"/>
        <v>8831839.1580578741</v>
      </c>
      <c r="CR66" s="239">
        <f t="shared" si="121"/>
        <v>9466292.5381301101</v>
      </c>
      <c r="CS66" s="236">
        <f>SUM(CC66,BI66,AO66,U66)</f>
        <v>34083188.530797079</v>
      </c>
      <c r="CT66" s="361"/>
      <c r="CU66" s="361"/>
      <c r="CV66" s="361"/>
      <c r="CW66" s="361"/>
      <c r="CX66" s="361"/>
      <c r="CY66" s="361"/>
      <c r="CZ66" s="361"/>
      <c r="DA66" s="361"/>
      <c r="DB66" s="361"/>
      <c r="DC66" s="361"/>
      <c r="DD66" s="361"/>
      <c r="DE66" s="361"/>
      <c r="DF66" s="361"/>
      <c r="DG66" s="361"/>
      <c r="DH66" s="361"/>
      <c r="DI66" s="361"/>
      <c r="DJ66" s="361"/>
      <c r="DK66" s="361"/>
      <c r="DL66" s="361"/>
      <c r="DM66" s="361"/>
      <c r="DN66" s="361"/>
      <c r="DO66" s="361"/>
      <c r="DP66" s="361"/>
      <c r="DQ66" s="361"/>
      <c r="DR66" s="361"/>
      <c r="DS66" s="361"/>
      <c r="DT66" s="361"/>
      <c r="DU66" s="361"/>
      <c r="DV66" s="361"/>
      <c r="DW66" s="361"/>
      <c r="DX66" s="361"/>
      <c r="DY66" s="361"/>
      <c r="DZ66" s="361"/>
      <c r="EA66" s="361"/>
    </row>
    <row r="67" spans="1:131" ht="15.75" customHeight="1" x14ac:dyDescent="0.25">
      <c r="B67" s="725"/>
      <c r="C67" s="198"/>
      <c r="D67" s="198"/>
      <c r="E67" s="198"/>
      <c r="F67" s="198"/>
      <c r="G67" s="198"/>
      <c r="H67" s="198"/>
      <c r="I67" s="198"/>
      <c r="J67" s="198"/>
      <c r="K67" s="429"/>
      <c r="L67" s="430"/>
      <c r="M67" s="198"/>
      <c r="N67" s="198"/>
      <c r="O67" s="198"/>
      <c r="P67" s="198"/>
      <c r="Q67" s="198"/>
      <c r="R67" s="198"/>
      <c r="S67" s="198"/>
      <c r="T67" s="198"/>
      <c r="U67" s="431"/>
      <c r="V67" s="725"/>
      <c r="W67" s="198"/>
      <c r="X67" s="198"/>
      <c r="Y67" s="198"/>
      <c r="Z67" s="198"/>
      <c r="AA67" s="198"/>
      <c r="AB67" s="198"/>
      <c r="AC67" s="198"/>
      <c r="AD67" s="198"/>
      <c r="AE67" s="429"/>
      <c r="AF67" s="430"/>
      <c r="AG67" s="198"/>
      <c r="AH67" s="198"/>
      <c r="AI67" s="198"/>
      <c r="AJ67" s="198"/>
      <c r="AK67" s="198"/>
      <c r="AL67" s="198"/>
      <c r="AM67" s="198"/>
      <c r="AN67" s="198"/>
      <c r="AO67" s="431"/>
      <c r="AP67" s="725"/>
      <c r="AQ67" s="198"/>
      <c r="AR67" s="198"/>
      <c r="AS67" s="198"/>
      <c r="AT67" s="198"/>
      <c r="AU67" s="198"/>
      <c r="AV67" s="198"/>
      <c r="AW67" s="198"/>
      <c r="AX67" s="198"/>
      <c r="AY67" s="429"/>
      <c r="AZ67" s="430"/>
      <c r="BA67" s="198"/>
      <c r="BB67" s="198"/>
      <c r="BC67" s="198"/>
      <c r="BD67" s="198"/>
      <c r="BE67" s="198"/>
      <c r="BF67" s="198"/>
      <c r="BG67" s="198"/>
      <c r="BH67" s="198"/>
      <c r="BI67" s="431"/>
      <c r="BJ67" s="725"/>
      <c r="BK67" s="198"/>
      <c r="BL67" s="198"/>
      <c r="BM67" s="198"/>
      <c r="BN67" s="198"/>
      <c r="BO67" s="198"/>
      <c r="BP67" s="198"/>
      <c r="BQ67" s="198"/>
      <c r="BR67" s="198"/>
      <c r="BS67" s="429"/>
      <c r="BT67" s="430"/>
      <c r="BU67" s="198"/>
      <c r="BV67" s="198"/>
      <c r="BW67" s="198"/>
      <c r="BX67" s="198"/>
      <c r="BY67" s="198"/>
      <c r="BZ67" s="198"/>
      <c r="CA67" s="198"/>
      <c r="CB67" s="198"/>
      <c r="CC67" s="431"/>
      <c r="CD67" s="725"/>
      <c r="CE67" s="198"/>
      <c r="CF67" s="198"/>
      <c r="CG67" s="198"/>
      <c r="CH67" s="198"/>
      <c r="CI67" s="467"/>
      <c r="CJ67" s="198"/>
      <c r="CK67" s="198"/>
      <c r="CL67" s="198"/>
      <c r="CM67" s="198"/>
      <c r="CN67" s="467"/>
      <c r="CO67" s="198"/>
      <c r="CP67" s="198"/>
      <c r="CQ67" s="198"/>
      <c r="CR67" s="198"/>
      <c r="CS67" s="467"/>
    </row>
    <row r="68" spans="1:131" ht="15.75" customHeight="1" x14ac:dyDescent="0.25">
      <c r="A68" s="19" t="s">
        <v>314</v>
      </c>
      <c r="B68" s="725"/>
      <c r="C68" s="207" t="s">
        <v>32</v>
      </c>
      <c r="D68" s="207" t="s">
        <v>32</v>
      </c>
      <c r="E68" s="207" t="s">
        <v>32</v>
      </c>
      <c r="F68" s="207" t="s">
        <v>32</v>
      </c>
      <c r="G68" s="207" t="s">
        <v>32</v>
      </c>
      <c r="H68" s="207" t="s">
        <v>32</v>
      </c>
      <c r="I68" s="207" t="s">
        <v>32</v>
      </c>
      <c r="J68" s="207" t="s">
        <v>32</v>
      </c>
      <c r="K68" s="426"/>
      <c r="L68" s="427" t="s">
        <v>32</v>
      </c>
      <c r="M68" s="207" t="s">
        <v>32</v>
      </c>
      <c r="N68" s="207" t="s">
        <v>32</v>
      </c>
      <c r="O68" s="207" t="s">
        <v>32</v>
      </c>
      <c r="P68" s="207" t="s">
        <v>32</v>
      </c>
      <c r="Q68" s="207" t="s">
        <v>32</v>
      </c>
      <c r="R68" s="207" t="s">
        <v>32</v>
      </c>
      <c r="S68" s="207" t="s">
        <v>32</v>
      </c>
      <c r="T68" s="428"/>
      <c r="U68" s="427" t="s">
        <v>32</v>
      </c>
      <c r="V68" s="725"/>
      <c r="W68" s="207" t="s">
        <v>32</v>
      </c>
      <c r="X68" s="207" t="s">
        <v>32</v>
      </c>
      <c r="Y68" s="207" t="s">
        <v>32</v>
      </c>
      <c r="Z68" s="207" t="s">
        <v>32</v>
      </c>
      <c r="AA68" s="207" t="s">
        <v>32</v>
      </c>
      <c r="AB68" s="207" t="s">
        <v>32</v>
      </c>
      <c r="AC68" s="207" t="s">
        <v>32</v>
      </c>
      <c r="AD68" s="207" t="s">
        <v>32</v>
      </c>
      <c r="AE68" s="426"/>
      <c r="AF68" s="427" t="s">
        <v>32</v>
      </c>
      <c r="AG68" s="207" t="s">
        <v>32</v>
      </c>
      <c r="AH68" s="207" t="s">
        <v>32</v>
      </c>
      <c r="AI68" s="207" t="s">
        <v>32</v>
      </c>
      <c r="AJ68" s="207" t="s">
        <v>32</v>
      </c>
      <c r="AK68" s="207" t="s">
        <v>32</v>
      </c>
      <c r="AL68" s="207" t="s">
        <v>32</v>
      </c>
      <c r="AM68" s="207" t="s">
        <v>32</v>
      </c>
      <c r="AN68" s="428"/>
      <c r="AO68" s="427" t="s">
        <v>32</v>
      </c>
      <c r="AP68" s="725"/>
      <c r="AQ68" s="207" t="s">
        <v>32</v>
      </c>
      <c r="AR68" s="207" t="s">
        <v>32</v>
      </c>
      <c r="AS68" s="207" t="s">
        <v>32</v>
      </c>
      <c r="AT68" s="207" t="s">
        <v>32</v>
      </c>
      <c r="AU68" s="207" t="s">
        <v>32</v>
      </c>
      <c r="AV68" s="207" t="s">
        <v>32</v>
      </c>
      <c r="AW68" s="207" t="s">
        <v>32</v>
      </c>
      <c r="AX68" s="207" t="s">
        <v>32</v>
      </c>
      <c r="AY68" s="426"/>
      <c r="AZ68" s="427" t="s">
        <v>32</v>
      </c>
      <c r="BA68" s="207" t="s">
        <v>32</v>
      </c>
      <c r="BB68" s="207" t="s">
        <v>32</v>
      </c>
      <c r="BC68" s="207" t="s">
        <v>32</v>
      </c>
      <c r="BD68" s="207" t="s">
        <v>32</v>
      </c>
      <c r="BE68" s="207" t="s">
        <v>32</v>
      </c>
      <c r="BF68" s="207" t="s">
        <v>32</v>
      </c>
      <c r="BG68" s="207" t="s">
        <v>32</v>
      </c>
      <c r="BH68" s="428"/>
      <c r="BI68" s="427" t="s">
        <v>32</v>
      </c>
      <c r="BJ68" s="725"/>
      <c r="BK68" s="207" t="s">
        <v>32</v>
      </c>
      <c r="BL68" s="207" t="s">
        <v>32</v>
      </c>
      <c r="BM68" s="207" t="s">
        <v>32</v>
      </c>
      <c r="BN68" s="207" t="s">
        <v>32</v>
      </c>
      <c r="BO68" s="207" t="s">
        <v>32</v>
      </c>
      <c r="BP68" s="207" t="s">
        <v>32</v>
      </c>
      <c r="BQ68" s="207" t="s">
        <v>32</v>
      </c>
      <c r="BR68" s="207" t="s">
        <v>32</v>
      </c>
      <c r="BS68" s="426"/>
      <c r="BT68" s="427" t="s">
        <v>32</v>
      </c>
      <c r="BU68" s="207" t="s">
        <v>32</v>
      </c>
      <c r="BV68" s="207" t="s">
        <v>32</v>
      </c>
      <c r="BW68" s="207" t="s">
        <v>32</v>
      </c>
      <c r="BX68" s="207" t="s">
        <v>32</v>
      </c>
      <c r="BY68" s="207" t="s">
        <v>32</v>
      </c>
      <c r="BZ68" s="207" t="s">
        <v>32</v>
      </c>
      <c r="CA68" s="207" t="s">
        <v>32</v>
      </c>
      <c r="CB68" s="428"/>
      <c r="CC68" s="427" t="s">
        <v>32</v>
      </c>
      <c r="CD68" s="725"/>
      <c r="CE68" s="198"/>
      <c r="CF68" s="198"/>
      <c r="CG68" s="198"/>
      <c r="CH68" s="198"/>
      <c r="CI68" s="467"/>
      <c r="CJ68" s="198"/>
      <c r="CK68" s="198"/>
      <c r="CL68" s="198"/>
      <c r="CM68" s="198"/>
      <c r="CN68" s="467"/>
      <c r="CO68" s="198"/>
      <c r="CP68" s="198"/>
      <c r="CQ68" s="198"/>
      <c r="CR68" s="198"/>
      <c r="CS68" s="467"/>
    </row>
    <row r="69" spans="1:131" ht="15.75" customHeight="1" x14ac:dyDescent="0.25">
      <c r="A69" s="94" t="s">
        <v>241</v>
      </c>
      <c r="B69" s="725">
        <v>44</v>
      </c>
      <c r="C69" s="468">
        <v>168.85692683868172</v>
      </c>
      <c r="D69" s="468">
        <v>587.31567804558267</v>
      </c>
      <c r="E69" s="468">
        <v>159.89060011297937</v>
      </c>
      <c r="F69" s="468">
        <v>630.06649664085046</v>
      </c>
      <c r="G69" s="468">
        <v>308.85936307444121</v>
      </c>
      <c r="H69" s="468">
        <v>1316.7181961761994</v>
      </c>
      <c r="I69" s="468">
        <v>252.25149369585256</v>
      </c>
      <c r="J69" s="468">
        <v>1007.8883759050341</v>
      </c>
      <c r="K69" s="460">
        <f>SUM(C69:J69)</f>
        <v>4431.8471304896211</v>
      </c>
      <c r="L69" s="469">
        <v>0</v>
      </c>
      <c r="M69" s="468">
        <v>1059.2989430681891</v>
      </c>
      <c r="N69" s="468">
        <v>0</v>
      </c>
      <c r="O69" s="468">
        <v>1138.9150634829668</v>
      </c>
      <c r="P69" s="468">
        <v>0</v>
      </c>
      <c r="Q69" s="468">
        <v>2705.1042229782224</v>
      </c>
      <c r="R69" s="468">
        <v>0</v>
      </c>
      <c r="S69" s="468">
        <v>1905.7210929311707</v>
      </c>
      <c r="T69" s="462">
        <f>SUM(L69:S69)</f>
        <v>6809.0393224605486</v>
      </c>
      <c r="U69" s="463">
        <f>SUM(T69,K69)</f>
        <v>11240.88645295017</v>
      </c>
      <c r="V69" s="725">
        <v>44</v>
      </c>
      <c r="W69" s="468">
        <v>43.498444552413773</v>
      </c>
      <c r="X69" s="468">
        <v>397.39891896080917</v>
      </c>
      <c r="Y69" s="468">
        <v>34.4409926145727</v>
      </c>
      <c r="Z69" s="468">
        <v>359.27956191323739</v>
      </c>
      <c r="AA69" s="468">
        <v>151.54018648181312</v>
      </c>
      <c r="AB69" s="468">
        <v>571.51776750928104</v>
      </c>
      <c r="AC69" s="468">
        <v>109.34514408872674</v>
      </c>
      <c r="AD69" s="468">
        <v>431.12834352676475</v>
      </c>
      <c r="AE69" s="460">
        <f>SUM(W69:AD69)</f>
        <v>2098.1493596476189</v>
      </c>
      <c r="AF69" s="469">
        <v>0</v>
      </c>
      <c r="AG69" s="468">
        <v>425.57756570596894</v>
      </c>
      <c r="AH69" s="468">
        <v>0</v>
      </c>
      <c r="AI69" s="468">
        <v>368.24793026207476</v>
      </c>
      <c r="AJ69" s="468">
        <v>0</v>
      </c>
      <c r="AK69" s="468">
        <v>674.9449083964181</v>
      </c>
      <c r="AL69" s="468">
        <v>0</v>
      </c>
      <c r="AM69" s="468">
        <v>483.76632726795134</v>
      </c>
      <c r="AN69" s="462">
        <f>SUM(AF69:AM69)</f>
        <v>1952.536731632413</v>
      </c>
      <c r="AO69" s="463">
        <f>SUM(AN69,AE69)</f>
        <v>4050.6860912800321</v>
      </c>
      <c r="AP69" s="725">
        <v>44</v>
      </c>
      <c r="AQ69" s="468">
        <v>5021.5390524923769</v>
      </c>
      <c r="AR69" s="468">
        <v>10746.265321941366</v>
      </c>
      <c r="AS69" s="468">
        <v>5389.5206111997486</v>
      </c>
      <c r="AT69" s="468">
        <v>11385.081068993995</v>
      </c>
      <c r="AU69" s="468">
        <v>10566.551957961527</v>
      </c>
      <c r="AV69" s="468">
        <v>23502.180427681687</v>
      </c>
      <c r="AW69" s="468">
        <v>8279.4541157767781</v>
      </c>
      <c r="AX69" s="468">
        <v>18657.606215696927</v>
      </c>
      <c r="AY69" s="460">
        <f>SUM(AQ69:AX69)</f>
        <v>93548.198771744414</v>
      </c>
      <c r="AZ69" s="469">
        <v>0</v>
      </c>
      <c r="BA69" s="468">
        <v>6284.3591315261419</v>
      </c>
      <c r="BB69" s="468">
        <v>0</v>
      </c>
      <c r="BC69" s="468">
        <v>5733.4134762861067</v>
      </c>
      <c r="BD69" s="468">
        <v>0</v>
      </c>
      <c r="BE69" s="468">
        <v>15133.907565188016</v>
      </c>
      <c r="BF69" s="468">
        <v>0</v>
      </c>
      <c r="BG69" s="468">
        <v>10696.31680413436</v>
      </c>
      <c r="BH69" s="462">
        <f>SUM(AZ69:BG69)</f>
        <v>37847.996977134622</v>
      </c>
      <c r="BI69" s="463">
        <f>SUM(BH69,AY69)</f>
        <v>131396.19574887905</v>
      </c>
      <c r="BJ69" s="725">
        <v>44</v>
      </c>
      <c r="BK69" s="468">
        <v>206.08158173695182</v>
      </c>
      <c r="BL69" s="468">
        <v>1647.8785814235175</v>
      </c>
      <c r="BM69" s="468">
        <v>204.57985246118074</v>
      </c>
      <c r="BN69" s="468">
        <v>1243.3978779831139</v>
      </c>
      <c r="BO69" s="468">
        <v>333.1978917512065</v>
      </c>
      <c r="BP69" s="468">
        <v>2128.6849344389648</v>
      </c>
      <c r="BQ69" s="468">
        <v>181.45043320613632</v>
      </c>
      <c r="BR69" s="468">
        <v>1219.88932712614</v>
      </c>
      <c r="BS69" s="460">
        <f>SUM(BK69:BR69)</f>
        <v>7165.1604801272115</v>
      </c>
      <c r="BT69" s="469">
        <v>0</v>
      </c>
      <c r="BU69" s="468">
        <v>470.55196921219874</v>
      </c>
      <c r="BV69" s="468">
        <v>0</v>
      </c>
      <c r="BW69" s="468">
        <v>403.92826219928077</v>
      </c>
      <c r="BX69" s="468">
        <v>0</v>
      </c>
      <c r="BY69" s="468">
        <v>736.7756014162153</v>
      </c>
      <c r="BZ69" s="468">
        <v>0</v>
      </c>
      <c r="CA69" s="468">
        <v>455.58785435497117</v>
      </c>
      <c r="CB69" s="462">
        <f>SUM(BT69:CA69)</f>
        <v>2066.8436871826661</v>
      </c>
      <c r="CC69" s="463">
        <f>SUM(CB69,BS69)</f>
        <v>9232.0041673098785</v>
      </c>
      <c r="CD69" s="725">
        <v>44</v>
      </c>
      <c r="CE69" s="462">
        <f t="shared" ref="CE69:CE71" si="124">+C69+D69+W69+X69+AQ69+AR69+BK69+BL69</f>
        <v>18818.834505991697</v>
      </c>
      <c r="CF69" s="462">
        <f t="shared" ref="CF69:CF71" si="125">+E69+F69+Y69+Z69+AS69+AT69+BM69+BN69</f>
        <v>19406.257061919678</v>
      </c>
      <c r="CG69" s="462">
        <f t="shared" ref="CG69:CG71" si="126">+G69+H69+AA69+AB69+AU69+AV69+BO69+BP69</f>
        <v>38879.250725075122</v>
      </c>
      <c r="CH69" s="462">
        <f t="shared" ref="CH69:CH71" si="127">+I69+J69+AC69+AD69+AW69+AX69+BQ69+BR69</f>
        <v>30139.013449022361</v>
      </c>
      <c r="CI69" s="464">
        <f t="shared" ref="CI69:CI71" si="128">SUM(K69,AE69,AY69,BS69)</f>
        <v>107243.35574200886</v>
      </c>
      <c r="CJ69" s="462">
        <f t="shared" ref="CJ69:CJ71" si="129">L69+M69+AF69+AG69+AZ69+BA69+BT69+BU69</f>
        <v>8239.7876095124975</v>
      </c>
      <c r="CK69" s="462">
        <f t="shared" ref="CK69:CK71" si="130">N69+O69+AH69+AI69+BB69+BC69+BV69+BW69</f>
        <v>7644.504732230429</v>
      </c>
      <c r="CL69" s="462">
        <f t="shared" ref="CL69:CL71" si="131">P69+Q69+AJ69+AK69+BD69+BE69+BX69+BY69</f>
        <v>19250.732297978873</v>
      </c>
      <c r="CM69" s="462">
        <f t="shared" ref="CM69:CM71" si="132">+R69+S69+AL69+AM69+BF69+BG69+BZ69+CA69</f>
        <v>13541.392078688454</v>
      </c>
      <c r="CN69" s="464">
        <f t="shared" ref="CN69:CN71" si="133">SUM(T69,AN69,BH69,CB69)</f>
        <v>48676.416718410248</v>
      </c>
      <c r="CO69" s="462">
        <f t="shared" ref="CO69:CO71" si="134">+C69+D69+L69+M69+W69+X69+AF69+AG69+AQ69+AR69+AZ69+BA69+BK69+BL69+BT69+BU69</f>
        <v>27058.622115504197</v>
      </c>
      <c r="CP69" s="462">
        <f t="shared" ref="CP69:CP71" si="135">+E69+F69+N69+O69+Y69+Z69+AH69+AI69+AS69+AT69+BB69+BC69+BM69+BN69+BV69+BW69</f>
        <v>27050.761794150108</v>
      </c>
      <c r="CQ69" s="462">
        <f t="shared" ref="CQ69:CQ71" si="136">+G69+H69+P69+Q69+AA69+AB69+AJ69+AK69+AU69+AV69+BD69+BE69+BO69+BP69+BX69+BY69</f>
        <v>58129.983023053988</v>
      </c>
      <c r="CR69" s="462">
        <f t="shared" ref="CR69:CR71" si="137">+I69+J69+R69+S69+AC69+AD69+AL69+AM69+AW69+AX69+BF69+BG69+BQ69+BR69+BZ69+CA69</f>
        <v>43680.405527710813</v>
      </c>
      <c r="CS69" s="464">
        <f t="shared" ref="CS69:CS71" si="138">SUM(CC69,BI69,AO69,U69)</f>
        <v>155919.7724604191</v>
      </c>
    </row>
    <row r="70" spans="1:131" ht="15.75" customHeight="1" x14ac:dyDescent="0.25">
      <c r="A70" s="94" t="s">
        <v>318</v>
      </c>
      <c r="B70" s="725">
        <v>45</v>
      </c>
      <c r="C70" s="258">
        <f t="shared" ref="C70:J70" si="139">IF(ABS(C62)&lt;C83, -C62, C83)</f>
        <v>0</v>
      </c>
      <c r="D70" s="258">
        <f t="shared" si="139"/>
        <v>0</v>
      </c>
      <c r="E70" s="258">
        <f t="shared" si="139"/>
        <v>0</v>
      </c>
      <c r="F70" s="258">
        <f t="shared" si="139"/>
        <v>0</v>
      </c>
      <c r="G70" s="258">
        <f t="shared" si="139"/>
        <v>0</v>
      </c>
      <c r="H70" s="258">
        <f t="shared" si="139"/>
        <v>0</v>
      </c>
      <c r="I70" s="258">
        <f t="shared" si="139"/>
        <v>0</v>
      </c>
      <c r="J70" s="258">
        <f t="shared" si="139"/>
        <v>0</v>
      </c>
      <c r="K70" s="460">
        <f t="shared" ref="K70" si="140">SUM(C70:J70)</f>
        <v>0</v>
      </c>
      <c r="L70" s="466">
        <f t="shared" ref="L70:S70" si="141">IF(ABS(L62)&lt;L83, -L62, L83)</f>
        <v>0</v>
      </c>
      <c r="M70" s="258">
        <f t="shared" si="141"/>
        <v>0</v>
      </c>
      <c r="N70" s="258">
        <f t="shared" si="141"/>
        <v>0</v>
      </c>
      <c r="O70" s="258">
        <f t="shared" si="141"/>
        <v>0</v>
      </c>
      <c r="P70" s="258">
        <f t="shared" si="141"/>
        <v>0</v>
      </c>
      <c r="Q70" s="258">
        <f t="shared" si="141"/>
        <v>0</v>
      </c>
      <c r="R70" s="258">
        <f t="shared" si="141"/>
        <v>0</v>
      </c>
      <c r="S70" s="258">
        <f t="shared" si="141"/>
        <v>0</v>
      </c>
      <c r="T70" s="462">
        <f t="shared" ref="T70" si="142">SUM(L70:S70)</f>
        <v>0</v>
      </c>
      <c r="U70" s="463">
        <f t="shared" ref="U70" si="143">SUM(T70,K70)</f>
        <v>0</v>
      </c>
      <c r="V70" s="725">
        <v>45</v>
      </c>
      <c r="W70" s="258">
        <f t="shared" ref="W70:AD70" si="144">IF(ABS(W62)&lt;W83, -W62, W83)</f>
        <v>0</v>
      </c>
      <c r="X70" s="258">
        <f t="shared" si="144"/>
        <v>0</v>
      </c>
      <c r="Y70" s="258">
        <f t="shared" si="144"/>
        <v>0</v>
      </c>
      <c r="Z70" s="258">
        <f t="shared" si="144"/>
        <v>0</v>
      </c>
      <c r="AA70" s="258">
        <f t="shared" si="144"/>
        <v>0</v>
      </c>
      <c r="AB70" s="258">
        <f t="shared" si="144"/>
        <v>0</v>
      </c>
      <c r="AC70" s="258">
        <f t="shared" si="144"/>
        <v>0</v>
      </c>
      <c r="AD70" s="258">
        <f t="shared" si="144"/>
        <v>0</v>
      </c>
      <c r="AE70" s="460">
        <f t="shared" ref="AE70" si="145">SUM(W70:AD70)</f>
        <v>0</v>
      </c>
      <c r="AF70" s="466">
        <f t="shared" ref="AF70:AM70" si="146">IF(ABS(AF62)&lt;AF83, -AF62, AF83)</f>
        <v>0</v>
      </c>
      <c r="AG70" s="258">
        <f t="shared" si="146"/>
        <v>0</v>
      </c>
      <c r="AH70" s="258">
        <f t="shared" si="146"/>
        <v>0</v>
      </c>
      <c r="AI70" s="258">
        <f t="shared" si="146"/>
        <v>0</v>
      </c>
      <c r="AJ70" s="258">
        <f t="shared" si="146"/>
        <v>0</v>
      </c>
      <c r="AK70" s="258">
        <f t="shared" si="146"/>
        <v>0</v>
      </c>
      <c r="AL70" s="258">
        <f t="shared" si="146"/>
        <v>0</v>
      </c>
      <c r="AM70" s="258">
        <f t="shared" si="146"/>
        <v>0</v>
      </c>
      <c r="AN70" s="462">
        <f t="shared" ref="AN70" si="147">SUM(AF70:AM70)</f>
        <v>0</v>
      </c>
      <c r="AO70" s="463">
        <f t="shared" ref="AO70" si="148">SUM(AN70,AE70)</f>
        <v>0</v>
      </c>
      <c r="AP70" s="725">
        <v>45</v>
      </c>
      <c r="AQ70" s="258">
        <f t="shared" ref="AQ70:AX70" si="149">IF(ABS(AQ62)&lt;AQ83, -AQ62, AQ83)</f>
        <v>0</v>
      </c>
      <c r="AR70" s="258">
        <f t="shared" si="149"/>
        <v>0</v>
      </c>
      <c r="AS70" s="258">
        <f t="shared" si="149"/>
        <v>0</v>
      </c>
      <c r="AT70" s="258">
        <f t="shared" si="149"/>
        <v>0</v>
      </c>
      <c r="AU70" s="258">
        <f t="shared" si="149"/>
        <v>0</v>
      </c>
      <c r="AV70" s="258">
        <f t="shared" si="149"/>
        <v>0</v>
      </c>
      <c r="AW70" s="258">
        <f t="shared" si="149"/>
        <v>0</v>
      </c>
      <c r="AX70" s="258">
        <f t="shared" si="149"/>
        <v>0</v>
      </c>
      <c r="AY70" s="460">
        <f t="shared" ref="AY70" si="150">SUM(AQ70:AX70)</f>
        <v>0</v>
      </c>
      <c r="AZ70" s="466">
        <f t="shared" ref="AZ70:BG70" si="151">IF(ABS(AZ62)&lt;AZ83, -AZ62, AZ83)</f>
        <v>0</v>
      </c>
      <c r="BA70" s="258">
        <f t="shared" si="151"/>
        <v>0</v>
      </c>
      <c r="BB70" s="258">
        <f t="shared" si="151"/>
        <v>0</v>
      </c>
      <c r="BC70" s="258">
        <f t="shared" si="151"/>
        <v>0</v>
      </c>
      <c r="BD70" s="258">
        <f t="shared" si="151"/>
        <v>0</v>
      </c>
      <c r="BE70" s="258">
        <f t="shared" si="151"/>
        <v>0</v>
      </c>
      <c r="BF70" s="258">
        <f t="shared" si="151"/>
        <v>0</v>
      </c>
      <c r="BG70" s="258">
        <f t="shared" si="151"/>
        <v>0</v>
      </c>
      <c r="BH70" s="462">
        <f t="shared" ref="BH70" si="152">SUM(AZ70:BG70)</f>
        <v>0</v>
      </c>
      <c r="BI70" s="463">
        <f t="shared" ref="BI70" si="153">SUM(BH70,AY70)</f>
        <v>0</v>
      </c>
      <c r="BJ70" s="725">
        <v>45</v>
      </c>
      <c r="BK70" s="258">
        <f t="shared" ref="BK70:BR70" si="154">IF(ABS(BK62)&lt;BK83, -BK62, BK83)</f>
        <v>0</v>
      </c>
      <c r="BL70" s="258">
        <f t="shared" si="154"/>
        <v>0</v>
      </c>
      <c r="BM70" s="258">
        <f t="shared" si="154"/>
        <v>0</v>
      </c>
      <c r="BN70" s="258">
        <f t="shared" si="154"/>
        <v>0</v>
      </c>
      <c r="BO70" s="258">
        <f t="shared" si="154"/>
        <v>0</v>
      </c>
      <c r="BP70" s="258">
        <f t="shared" si="154"/>
        <v>0</v>
      </c>
      <c r="BQ70" s="258">
        <f t="shared" si="154"/>
        <v>0</v>
      </c>
      <c r="BR70" s="258">
        <f t="shared" si="154"/>
        <v>0</v>
      </c>
      <c r="BS70" s="460">
        <f t="shared" ref="BS70" si="155">SUM(BK70:BR70)</f>
        <v>0</v>
      </c>
      <c r="BT70" s="466">
        <f t="shared" ref="BT70:CA70" si="156">IF(ABS(BT62)&lt;BT83, -BT62, BT83)</f>
        <v>0</v>
      </c>
      <c r="BU70" s="258">
        <f t="shared" si="156"/>
        <v>0</v>
      </c>
      <c r="BV70" s="258">
        <f t="shared" si="156"/>
        <v>0</v>
      </c>
      <c r="BW70" s="258">
        <f t="shared" si="156"/>
        <v>0</v>
      </c>
      <c r="BX70" s="258">
        <f t="shared" si="156"/>
        <v>0</v>
      </c>
      <c r="BY70" s="258">
        <f t="shared" si="156"/>
        <v>0</v>
      </c>
      <c r="BZ70" s="258">
        <f t="shared" si="156"/>
        <v>0</v>
      </c>
      <c r="CA70" s="258">
        <f t="shared" si="156"/>
        <v>0</v>
      </c>
      <c r="CB70" s="462">
        <f t="shared" ref="CB70" si="157">SUM(BT70:CA70)</f>
        <v>0</v>
      </c>
      <c r="CC70" s="463">
        <f t="shared" ref="CC70" si="158">SUM(CB70,BS70)</f>
        <v>0</v>
      </c>
      <c r="CD70" s="725">
        <v>45</v>
      </c>
      <c r="CE70" s="462">
        <f t="shared" si="124"/>
        <v>0</v>
      </c>
      <c r="CF70" s="462">
        <f t="shared" si="125"/>
        <v>0</v>
      </c>
      <c r="CG70" s="462">
        <f t="shared" si="126"/>
        <v>0</v>
      </c>
      <c r="CH70" s="462">
        <f t="shared" si="127"/>
        <v>0</v>
      </c>
      <c r="CI70" s="464">
        <f t="shared" si="128"/>
        <v>0</v>
      </c>
      <c r="CJ70" s="462">
        <f t="shared" si="129"/>
        <v>0</v>
      </c>
      <c r="CK70" s="462">
        <f t="shared" si="130"/>
        <v>0</v>
      </c>
      <c r="CL70" s="462">
        <f t="shared" si="131"/>
        <v>0</v>
      </c>
      <c r="CM70" s="462">
        <f t="shared" si="132"/>
        <v>0</v>
      </c>
      <c r="CN70" s="464">
        <f t="shared" si="133"/>
        <v>0</v>
      </c>
      <c r="CO70" s="462">
        <f t="shared" si="134"/>
        <v>0</v>
      </c>
      <c r="CP70" s="462">
        <f t="shared" si="135"/>
        <v>0</v>
      </c>
      <c r="CQ70" s="462">
        <f t="shared" si="136"/>
        <v>0</v>
      </c>
      <c r="CR70" s="462">
        <f t="shared" si="137"/>
        <v>0</v>
      </c>
      <c r="CS70" s="464">
        <f t="shared" si="138"/>
        <v>0</v>
      </c>
    </row>
    <row r="71" spans="1:131" ht="15.75" customHeight="1" x14ac:dyDescent="0.25">
      <c r="A71" s="94" t="s">
        <v>514</v>
      </c>
      <c r="B71" s="343">
        <v>46</v>
      </c>
      <c r="C71" s="468">
        <v>1348.7951057914877</v>
      </c>
      <c r="D71" s="468">
        <v>4691.3592882055282</v>
      </c>
      <c r="E71" s="468">
        <v>1407.2316038444098</v>
      </c>
      <c r="F71" s="468">
        <v>5545.3509210048751</v>
      </c>
      <c r="G71" s="468">
        <v>1403.9812449056867</v>
      </c>
      <c r="H71" s="468">
        <v>5985.4026565866816</v>
      </c>
      <c r="I71" s="468">
        <v>1609.8572591967861</v>
      </c>
      <c r="J71" s="468">
        <v>6432.2965729080861</v>
      </c>
      <c r="K71" s="460">
        <f>SUM(C71:J71)</f>
        <v>28424.274652443542</v>
      </c>
      <c r="L71" s="469">
        <v>0</v>
      </c>
      <c r="M71" s="468">
        <v>13067.70832482462</v>
      </c>
      <c r="N71" s="468">
        <v>0</v>
      </c>
      <c r="O71" s="468">
        <v>14833.675121121949</v>
      </c>
      <c r="P71" s="468">
        <v>0</v>
      </c>
      <c r="Q71" s="468">
        <v>14813.673829744057</v>
      </c>
      <c r="R71" s="468">
        <v>0</v>
      </c>
      <c r="S71" s="468">
        <v>15624.242664234309</v>
      </c>
      <c r="T71" s="462">
        <f>SUM(L71:S71)</f>
        <v>58339.299939924938</v>
      </c>
      <c r="U71" s="463">
        <f>SUM(T71,K71)</f>
        <v>86763.574592368474</v>
      </c>
      <c r="V71" s="343">
        <v>46</v>
      </c>
      <c r="W71" s="468">
        <v>347.45680985826084</v>
      </c>
      <c r="X71" s="468">
        <v>3174.3424861287854</v>
      </c>
      <c r="Y71" s="468">
        <v>303.12259282754587</v>
      </c>
      <c r="Z71" s="468">
        <v>3162.0967948236494</v>
      </c>
      <c r="AA71" s="468">
        <v>688.85585190660595</v>
      </c>
      <c r="AB71" s="468">
        <v>2597.9469060810211</v>
      </c>
      <c r="AC71" s="468">
        <v>697.83560600596559</v>
      </c>
      <c r="AD71" s="468">
        <v>2751.4409659309758</v>
      </c>
      <c r="AE71" s="460">
        <f>SUM(W71:AD71)</f>
        <v>13723.098013562809</v>
      </c>
      <c r="AF71" s="469">
        <v>0</v>
      </c>
      <c r="AG71" s="468">
        <v>5250.0038205706906</v>
      </c>
      <c r="AH71" s="468">
        <v>0</v>
      </c>
      <c r="AI71" s="468">
        <v>4796.2050346653295</v>
      </c>
      <c r="AJ71" s="468">
        <v>0</v>
      </c>
      <c r="AK71" s="468">
        <v>3696.1288371444421</v>
      </c>
      <c r="AL71" s="468">
        <v>0</v>
      </c>
      <c r="AM71" s="468">
        <v>3966.2060298625524</v>
      </c>
      <c r="AN71" s="462">
        <f>SUM(AF71:AM71)</f>
        <v>17708.543722243016</v>
      </c>
      <c r="AO71" s="463">
        <f>SUM(AN71,AE71)</f>
        <v>31431.641735805824</v>
      </c>
      <c r="AP71" s="343">
        <v>46</v>
      </c>
      <c r="AQ71" s="468">
        <v>40111.042077730017</v>
      </c>
      <c r="AR71" s="468">
        <v>85839.001947599681</v>
      </c>
      <c r="AS71" s="468">
        <v>47434.331526006063</v>
      </c>
      <c r="AT71" s="468">
        <v>100202.55025184862</v>
      </c>
      <c r="AU71" s="468">
        <v>48032.349172214868</v>
      </c>
      <c r="AV71" s="468">
        <v>106833.80360044894</v>
      </c>
      <c r="AW71" s="468">
        <v>52839.08973217351</v>
      </c>
      <c r="AX71" s="468">
        <v>119071.97204465402</v>
      </c>
      <c r="AY71" s="460">
        <f>SUM(AQ71:AX71)</f>
        <v>600364.14035267569</v>
      </c>
      <c r="AZ71" s="469">
        <v>0</v>
      </c>
      <c r="BA71" s="468">
        <v>77525.020369953694</v>
      </c>
      <c r="BB71" s="468">
        <v>0</v>
      </c>
      <c r="BC71" s="468">
        <v>74674.218973101204</v>
      </c>
      <c r="BD71" s="468">
        <v>0</v>
      </c>
      <c r="BE71" s="468">
        <v>82876.204375359535</v>
      </c>
      <c r="BF71" s="468">
        <v>0</v>
      </c>
      <c r="BG71" s="468">
        <v>87694.810106904974</v>
      </c>
      <c r="BH71" s="462">
        <f>SUM(AZ71:BG71)</f>
        <v>322770.25382531935</v>
      </c>
      <c r="BI71" s="463">
        <f>SUM(BH71,AY71)</f>
        <v>923134.39417799504</v>
      </c>
      <c r="BJ71" s="343">
        <v>46</v>
      </c>
      <c r="BK71" s="468">
        <v>1646.1381481028679</v>
      </c>
      <c r="BL71" s="468">
        <v>13162.922049896593</v>
      </c>
      <c r="BM71" s="468">
        <v>1800.5513375381349</v>
      </c>
      <c r="BN71" s="468">
        <v>10943.412488379761</v>
      </c>
      <c r="BO71" s="468">
        <v>1514.6168346790876</v>
      </c>
      <c r="BP71" s="468">
        <v>9676.357855938717</v>
      </c>
      <c r="BQ71" s="468">
        <v>1158.0081957156033</v>
      </c>
      <c r="BR71" s="468">
        <v>7785.276748682295</v>
      </c>
      <c r="BS71" s="460">
        <f>SUM(BK71:BR71)</f>
        <v>47687.283658933055</v>
      </c>
      <c r="BT71" s="469">
        <v>0</v>
      </c>
      <c r="BU71" s="468">
        <v>5804.8164076578742</v>
      </c>
      <c r="BV71" s="468">
        <v>0</v>
      </c>
      <c r="BW71" s="468">
        <v>5260.919629405802</v>
      </c>
      <c r="BX71" s="468">
        <v>0</v>
      </c>
      <c r="BY71" s="468">
        <v>4034.7256687496556</v>
      </c>
      <c r="BZ71" s="468">
        <v>0</v>
      </c>
      <c r="CA71" s="468">
        <v>3735.1820356731482</v>
      </c>
      <c r="CB71" s="462">
        <f>SUM(BT71:CA71)</f>
        <v>18835.643741486481</v>
      </c>
      <c r="CC71" s="463">
        <f>SUM(CB71,BS71)</f>
        <v>66522.927400419532</v>
      </c>
      <c r="CD71" s="343">
        <v>46</v>
      </c>
      <c r="CE71" s="462">
        <f t="shared" si="124"/>
        <v>150321.05791331321</v>
      </c>
      <c r="CF71" s="462">
        <f t="shared" si="125"/>
        <v>170798.64751627305</v>
      </c>
      <c r="CG71" s="462">
        <f t="shared" si="126"/>
        <v>176733.31412276163</v>
      </c>
      <c r="CH71" s="462">
        <f t="shared" si="127"/>
        <v>192345.77712526722</v>
      </c>
      <c r="CI71" s="464">
        <f t="shared" si="128"/>
        <v>690198.79667761503</v>
      </c>
      <c r="CJ71" s="462">
        <f t="shared" si="129"/>
        <v>101647.54892300688</v>
      </c>
      <c r="CK71" s="462">
        <f t="shared" si="130"/>
        <v>99565.018758294289</v>
      </c>
      <c r="CL71" s="462">
        <f t="shared" si="131"/>
        <v>105420.73271099769</v>
      </c>
      <c r="CM71" s="462">
        <f t="shared" si="132"/>
        <v>111020.44083667498</v>
      </c>
      <c r="CN71" s="464">
        <f t="shared" si="133"/>
        <v>417653.74122897378</v>
      </c>
      <c r="CO71" s="462">
        <f t="shared" si="134"/>
        <v>251968.60683632013</v>
      </c>
      <c r="CP71" s="462">
        <f t="shared" si="135"/>
        <v>270363.66627456731</v>
      </c>
      <c r="CQ71" s="462">
        <f t="shared" si="136"/>
        <v>282154.04683375929</v>
      </c>
      <c r="CR71" s="462">
        <f t="shared" si="137"/>
        <v>303366.21796194225</v>
      </c>
      <c r="CS71" s="464">
        <f t="shared" si="138"/>
        <v>1107852.5379065888</v>
      </c>
    </row>
    <row r="72" spans="1:131" s="17" customFormat="1" ht="15.75" customHeight="1" x14ac:dyDescent="0.25">
      <c r="A72" s="111"/>
      <c r="B72" s="343"/>
      <c r="C72" s="207" t="s">
        <v>32</v>
      </c>
      <c r="D72" s="207" t="s">
        <v>32</v>
      </c>
      <c r="E72" s="207" t="s">
        <v>32</v>
      </c>
      <c r="F72" s="207" t="s">
        <v>32</v>
      </c>
      <c r="G72" s="207" t="s">
        <v>32</v>
      </c>
      <c r="H72" s="207" t="s">
        <v>32</v>
      </c>
      <c r="I72" s="207" t="s">
        <v>32</v>
      </c>
      <c r="J72" s="207" t="s">
        <v>32</v>
      </c>
      <c r="K72" s="426"/>
      <c r="L72" s="427" t="s">
        <v>32</v>
      </c>
      <c r="M72" s="207" t="s">
        <v>32</v>
      </c>
      <c r="N72" s="207" t="s">
        <v>32</v>
      </c>
      <c r="O72" s="207" t="s">
        <v>32</v>
      </c>
      <c r="P72" s="207" t="s">
        <v>32</v>
      </c>
      <c r="Q72" s="207" t="s">
        <v>32</v>
      </c>
      <c r="R72" s="207" t="s">
        <v>32</v>
      </c>
      <c r="S72" s="207" t="s">
        <v>32</v>
      </c>
      <c r="T72" s="428"/>
      <c r="U72" s="427" t="s">
        <v>32</v>
      </c>
      <c r="V72" s="343"/>
      <c r="W72" s="207" t="s">
        <v>32</v>
      </c>
      <c r="X72" s="207" t="s">
        <v>32</v>
      </c>
      <c r="Y72" s="207" t="s">
        <v>32</v>
      </c>
      <c r="Z72" s="207" t="s">
        <v>32</v>
      </c>
      <c r="AA72" s="207" t="s">
        <v>32</v>
      </c>
      <c r="AB72" s="207" t="s">
        <v>32</v>
      </c>
      <c r="AC72" s="207" t="s">
        <v>32</v>
      </c>
      <c r="AD72" s="207" t="s">
        <v>32</v>
      </c>
      <c r="AE72" s="426"/>
      <c r="AF72" s="427" t="s">
        <v>32</v>
      </c>
      <c r="AG72" s="207" t="s">
        <v>32</v>
      </c>
      <c r="AH72" s="207" t="s">
        <v>32</v>
      </c>
      <c r="AI72" s="207" t="s">
        <v>32</v>
      </c>
      <c r="AJ72" s="207" t="s">
        <v>32</v>
      </c>
      <c r="AK72" s="207" t="s">
        <v>32</v>
      </c>
      <c r="AL72" s="207" t="s">
        <v>32</v>
      </c>
      <c r="AM72" s="207" t="s">
        <v>32</v>
      </c>
      <c r="AN72" s="428"/>
      <c r="AO72" s="427" t="s">
        <v>32</v>
      </c>
      <c r="AP72" s="343"/>
      <c r="AQ72" s="207" t="s">
        <v>32</v>
      </c>
      <c r="AR72" s="207" t="s">
        <v>32</v>
      </c>
      <c r="AS72" s="207" t="s">
        <v>32</v>
      </c>
      <c r="AT72" s="207" t="s">
        <v>32</v>
      </c>
      <c r="AU72" s="207" t="s">
        <v>32</v>
      </c>
      <c r="AV72" s="207" t="s">
        <v>32</v>
      </c>
      <c r="AW72" s="207" t="s">
        <v>32</v>
      </c>
      <c r="AX72" s="207" t="s">
        <v>32</v>
      </c>
      <c r="AY72" s="426"/>
      <c r="AZ72" s="427" t="s">
        <v>32</v>
      </c>
      <c r="BA72" s="207" t="s">
        <v>32</v>
      </c>
      <c r="BB72" s="207" t="s">
        <v>32</v>
      </c>
      <c r="BC72" s="207" t="s">
        <v>32</v>
      </c>
      <c r="BD72" s="207" t="s">
        <v>32</v>
      </c>
      <c r="BE72" s="207" t="s">
        <v>32</v>
      </c>
      <c r="BF72" s="207" t="s">
        <v>32</v>
      </c>
      <c r="BG72" s="207" t="s">
        <v>32</v>
      </c>
      <c r="BH72" s="428"/>
      <c r="BI72" s="427" t="s">
        <v>32</v>
      </c>
      <c r="BJ72" s="343"/>
      <c r="BK72" s="207" t="s">
        <v>32</v>
      </c>
      <c r="BL72" s="207" t="s">
        <v>32</v>
      </c>
      <c r="BM72" s="207" t="s">
        <v>32</v>
      </c>
      <c r="BN72" s="207" t="s">
        <v>32</v>
      </c>
      <c r="BO72" s="207" t="s">
        <v>32</v>
      </c>
      <c r="BP72" s="207" t="s">
        <v>32</v>
      </c>
      <c r="BQ72" s="207" t="s">
        <v>32</v>
      </c>
      <c r="BR72" s="207" t="s">
        <v>32</v>
      </c>
      <c r="BS72" s="426"/>
      <c r="BT72" s="427" t="s">
        <v>32</v>
      </c>
      <c r="BU72" s="207" t="s">
        <v>32</v>
      </c>
      <c r="BV72" s="207" t="s">
        <v>32</v>
      </c>
      <c r="BW72" s="207" t="s">
        <v>32</v>
      </c>
      <c r="BX72" s="207" t="s">
        <v>32</v>
      </c>
      <c r="BY72" s="207" t="s">
        <v>32</v>
      </c>
      <c r="BZ72" s="207" t="s">
        <v>32</v>
      </c>
      <c r="CA72" s="207" t="s">
        <v>32</v>
      </c>
      <c r="CB72" s="428"/>
      <c r="CC72" s="427" t="s">
        <v>32</v>
      </c>
      <c r="CD72" s="343"/>
      <c r="CE72" s="428"/>
      <c r="CF72" s="428"/>
      <c r="CG72" s="428"/>
      <c r="CH72" s="428"/>
      <c r="CI72" s="207"/>
      <c r="CJ72" s="428"/>
      <c r="CK72" s="428"/>
      <c r="CL72" s="428"/>
      <c r="CM72" s="428"/>
      <c r="CN72" s="207"/>
      <c r="CO72" s="428"/>
      <c r="CP72" s="428"/>
      <c r="CQ72" s="428"/>
      <c r="CR72" s="428"/>
      <c r="CS72" s="207"/>
      <c r="CT72" s="361"/>
      <c r="CU72" s="361"/>
      <c r="CV72" s="361"/>
      <c r="CW72" s="361"/>
      <c r="CX72" s="361"/>
      <c r="CY72" s="361"/>
      <c r="CZ72" s="361"/>
      <c r="DA72" s="361"/>
      <c r="DB72" s="361"/>
      <c r="DC72" s="361"/>
      <c r="DD72" s="361"/>
      <c r="DE72" s="361"/>
      <c r="DF72" s="361"/>
      <c r="DG72" s="361"/>
      <c r="DH72" s="361"/>
      <c r="DI72" s="361"/>
      <c r="DJ72" s="361"/>
      <c r="DK72" s="361"/>
      <c r="DL72" s="361"/>
      <c r="DM72" s="361"/>
      <c r="DN72" s="361"/>
      <c r="DO72" s="361"/>
      <c r="DP72" s="361"/>
      <c r="DQ72" s="361"/>
      <c r="DR72" s="361"/>
      <c r="DS72" s="361"/>
      <c r="DT72" s="361"/>
      <c r="DU72" s="361"/>
      <c r="DV72" s="361"/>
      <c r="DW72" s="361"/>
      <c r="DX72" s="361"/>
      <c r="DY72" s="361"/>
      <c r="DZ72" s="361"/>
      <c r="EA72" s="361"/>
    </row>
    <row r="73" spans="1:131" s="17" customFormat="1" x14ac:dyDescent="0.25">
      <c r="A73" s="19" t="s">
        <v>421</v>
      </c>
      <c r="B73" s="343">
        <v>47</v>
      </c>
      <c r="C73" s="236">
        <f t="shared" ref="C73:U73" si="159">SUM(C69:C71)</f>
        <v>1517.6520326301693</v>
      </c>
      <c r="D73" s="236">
        <f t="shared" si="159"/>
        <v>5278.6749662511111</v>
      </c>
      <c r="E73" s="236">
        <f t="shared" si="159"/>
        <v>1567.1222039573893</v>
      </c>
      <c r="F73" s="236">
        <f t="shared" si="159"/>
        <v>6175.4174176457254</v>
      </c>
      <c r="G73" s="236">
        <f t="shared" si="159"/>
        <v>1712.840607980128</v>
      </c>
      <c r="H73" s="236">
        <f t="shared" si="159"/>
        <v>7302.1208527628805</v>
      </c>
      <c r="I73" s="236">
        <f t="shared" si="159"/>
        <v>1862.1087528926387</v>
      </c>
      <c r="J73" s="236">
        <f t="shared" si="159"/>
        <v>7440.1849488131202</v>
      </c>
      <c r="K73" s="241">
        <f t="shared" si="159"/>
        <v>32856.121782933165</v>
      </c>
      <c r="L73" s="238">
        <f t="shared" si="159"/>
        <v>0</v>
      </c>
      <c r="M73" s="236">
        <f t="shared" si="159"/>
        <v>14127.007267892808</v>
      </c>
      <c r="N73" s="236">
        <f t="shared" si="159"/>
        <v>0</v>
      </c>
      <c r="O73" s="236">
        <f t="shared" si="159"/>
        <v>15972.590184604916</v>
      </c>
      <c r="P73" s="236">
        <f t="shared" si="159"/>
        <v>0</v>
      </c>
      <c r="Q73" s="236">
        <f t="shared" si="159"/>
        <v>17518.778052722279</v>
      </c>
      <c r="R73" s="236">
        <f t="shared" si="159"/>
        <v>0</v>
      </c>
      <c r="S73" s="236">
        <f t="shared" si="159"/>
        <v>17529.963757165478</v>
      </c>
      <c r="T73" s="239">
        <f t="shared" si="159"/>
        <v>65148.339262385489</v>
      </c>
      <c r="U73" s="238">
        <f t="shared" si="159"/>
        <v>98004.461045318647</v>
      </c>
      <c r="V73" s="343">
        <v>47</v>
      </c>
      <c r="W73" s="236">
        <f t="shared" ref="W73:AO73" si="160">SUM(W69:W71)</f>
        <v>390.95525441067463</v>
      </c>
      <c r="X73" s="236">
        <f t="shared" si="160"/>
        <v>3571.7414050895945</v>
      </c>
      <c r="Y73" s="236">
        <f t="shared" si="160"/>
        <v>337.56358544211855</v>
      </c>
      <c r="Z73" s="236">
        <f t="shared" si="160"/>
        <v>3521.3763567368869</v>
      </c>
      <c r="AA73" s="236">
        <f t="shared" si="160"/>
        <v>840.39603838841913</v>
      </c>
      <c r="AB73" s="236">
        <f t="shared" si="160"/>
        <v>3169.464673590302</v>
      </c>
      <c r="AC73" s="236">
        <f t="shared" si="160"/>
        <v>807.18075009469237</v>
      </c>
      <c r="AD73" s="236">
        <f t="shared" si="160"/>
        <v>3182.5693094577405</v>
      </c>
      <c r="AE73" s="241">
        <f t="shared" si="160"/>
        <v>15821.247373210428</v>
      </c>
      <c r="AF73" s="238">
        <f t="shared" si="160"/>
        <v>0</v>
      </c>
      <c r="AG73" s="236">
        <f t="shared" si="160"/>
        <v>5675.581386276659</v>
      </c>
      <c r="AH73" s="236">
        <f t="shared" si="160"/>
        <v>0</v>
      </c>
      <c r="AI73" s="236">
        <f t="shared" si="160"/>
        <v>5164.4529649274045</v>
      </c>
      <c r="AJ73" s="236">
        <f t="shared" si="160"/>
        <v>0</v>
      </c>
      <c r="AK73" s="236">
        <f t="shared" si="160"/>
        <v>4371.0737455408598</v>
      </c>
      <c r="AL73" s="236">
        <f t="shared" si="160"/>
        <v>0</v>
      </c>
      <c r="AM73" s="236">
        <f t="shared" si="160"/>
        <v>4449.972357130504</v>
      </c>
      <c r="AN73" s="239">
        <f t="shared" si="160"/>
        <v>19661.080453875427</v>
      </c>
      <c r="AO73" s="238">
        <f t="shared" si="160"/>
        <v>35482.327827085857</v>
      </c>
      <c r="AP73" s="343">
        <v>47</v>
      </c>
      <c r="AQ73" s="236">
        <f t="shared" ref="AQ73:BI73" si="161">SUM(AQ69:AQ71)</f>
        <v>45132.581130222396</v>
      </c>
      <c r="AR73" s="236">
        <f t="shared" si="161"/>
        <v>96585.267269541044</v>
      </c>
      <c r="AS73" s="236">
        <f t="shared" si="161"/>
        <v>52823.852137205809</v>
      </c>
      <c r="AT73" s="236">
        <f t="shared" si="161"/>
        <v>111587.63132084261</v>
      </c>
      <c r="AU73" s="236">
        <f t="shared" si="161"/>
        <v>58598.901130176397</v>
      </c>
      <c r="AV73" s="236">
        <f t="shared" si="161"/>
        <v>130335.98402813062</v>
      </c>
      <c r="AW73" s="236">
        <f t="shared" si="161"/>
        <v>61118.543847950292</v>
      </c>
      <c r="AX73" s="236">
        <f t="shared" si="161"/>
        <v>137729.57826035094</v>
      </c>
      <c r="AY73" s="241">
        <f t="shared" si="161"/>
        <v>693912.33912442008</v>
      </c>
      <c r="AZ73" s="238">
        <f t="shared" si="161"/>
        <v>0</v>
      </c>
      <c r="BA73" s="236">
        <f t="shared" si="161"/>
        <v>83809.379501479838</v>
      </c>
      <c r="BB73" s="236">
        <f t="shared" si="161"/>
        <v>0</v>
      </c>
      <c r="BC73" s="236">
        <f t="shared" si="161"/>
        <v>80407.632449387311</v>
      </c>
      <c r="BD73" s="236">
        <f t="shared" si="161"/>
        <v>0</v>
      </c>
      <c r="BE73" s="236">
        <f t="shared" si="161"/>
        <v>98010.111940547547</v>
      </c>
      <c r="BF73" s="236">
        <f t="shared" si="161"/>
        <v>0</v>
      </c>
      <c r="BG73" s="236">
        <f t="shared" si="161"/>
        <v>98391.126911039333</v>
      </c>
      <c r="BH73" s="239">
        <f t="shared" si="161"/>
        <v>360618.25080245396</v>
      </c>
      <c r="BI73" s="238">
        <f t="shared" si="161"/>
        <v>1054530.589926874</v>
      </c>
      <c r="BJ73" s="343">
        <v>47</v>
      </c>
      <c r="BK73" s="236">
        <f t="shared" ref="BK73:CC73" si="162">SUM(BK69:BK71)</f>
        <v>1852.2197298398198</v>
      </c>
      <c r="BL73" s="236">
        <f t="shared" si="162"/>
        <v>14810.800631320111</v>
      </c>
      <c r="BM73" s="236">
        <f t="shared" si="162"/>
        <v>2005.1311899993157</v>
      </c>
      <c r="BN73" s="236">
        <f t="shared" si="162"/>
        <v>12186.810366362875</v>
      </c>
      <c r="BO73" s="236">
        <f t="shared" si="162"/>
        <v>1847.8147264302941</v>
      </c>
      <c r="BP73" s="236">
        <f t="shared" si="162"/>
        <v>11805.042790377682</v>
      </c>
      <c r="BQ73" s="236">
        <f t="shared" si="162"/>
        <v>1339.4586289217395</v>
      </c>
      <c r="BR73" s="236">
        <f t="shared" si="162"/>
        <v>9005.1660758084345</v>
      </c>
      <c r="BS73" s="241">
        <f t="shared" si="162"/>
        <v>54852.444139060266</v>
      </c>
      <c r="BT73" s="238">
        <f t="shared" si="162"/>
        <v>0</v>
      </c>
      <c r="BU73" s="236">
        <f t="shared" si="162"/>
        <v>6275.368376870073</v>
      </c>
      <c r="BV73" s="236">
        <f t="shared" si="162"/>
        <v>0</v>
      </c>
      <c r="BW73" s="236">
        <f t="shared" si="162"/>
        <v>5664.8478916050826</v>
      </c>
      <c r="BX73" s="236">
        <f t="shared" si="162"/>
        <v>0</v>
      </c>
      <c r="BY73" s="236">
        <f t="shared" si="162"/>
        <v>4771.5012701658707</v>
      </c>
      <c r="BZ73" s="236">
        <f t="shared" si="162"/>
        <v>0</v>
      </c>
      <c r="CA73" s="236">
        <f t="shared" si="162"/>
        <v>4190.7698900281193</v>
      </c>
      <c r="CB73" s="239">
        <f t="shared" si="162"/>
        <v>20902.487428669148</v>
      </c>
      <c r="CC73" s="238">
        <f t="shared" si="162"/>
        <v>75754.931567729407</v>
      </c>
      <c r="CD73" s="343">
        <v>47</v>
      </c>
      <c r="CE73" s="239">
        <f>SUM(CE69:CE71)</f>
        <v>169139.8924193049</v>
      </c>
      <c r="CF73" s="239">
        <f>SUM(CF69:CF71)</f>
        <v>190204.90457819274</v>
      </c>
      <c r="CG73" s="239">
        <f>SUM(CG69:CG71)</f>
        <v>215612.56484783674</v>
      </c>
      <c r="CH73" s="239">
        <f>SUM(CH69:CH71)</f>
        <v>222484.7905742896</v>
      </c>
      <c r="CI73" s="236">
        <f>SUM(BS73,AY73,AE73,K73)</f>
        <v>797442.1524196238</v>
      </c>
      <c r="CJ73" s="239">
        <f>SUM(CJ69:CJ71)</f>
        <v>109887.33653251937</v>
      </c>
      <c r="CK73" s="239">
        <f>SUM(CK69:CK71)</f>
        <v>107209.52349052472</v>
      </c>
      <c r="CL73" s="239">
        <f>SUM(CL69:CL71)</f>
        <v>124671.46500897656</v>
      </c>
      <c r="CM73" s="239">
        <f>SUM(CM69:CM71)</f>
        <v>124561.83291536344</v>
      </c>
      <c r="CN73" s="236">
        <f>SUM(BX73,BD73,AJ73,P73)</f>
        <v>0</v>
      </c>
      <c r="CO73" s="239">
        <f>SUM(CO69:CO71)</f>
        <v>279027.22895182431</v>
      </c>
      <c r="CP73" s="239">
        <f>SUM(CP69:CP71)</f>
        <v>297414.42806871742</v>
      </c>
      <c r="CQ73" s="239">
        <f>SUM(CQ69:CQ71)</f>
        <v>340284.02985681326</v>
      </c>
      <c r="CR73" s="239">
        <f>SUM(CR69:CR71)</f>
        <v>347046.62348965305</v>
      </c>
      <c r="CS73" s="236">
        <f>SUM(CC73,BI73,AO73,U73)</f>
        <v>1263772.3103670082</v>
      </c>
      <c r="CT73" s="361"/>
      <c r="CU73" s="361"/>
      <c r="CV73" s="361"/>
      <c r="CW73" s="361"/>
      <c r="CX73" s="361"/>
      <c r="CY73" s="361"/>
      <c r="CZ73" s="361"/>
      <c r="DA73" s="361"/>
      <c r="DB73" s="361"/>
      <c r="DC73" s="361"/>
      <c r="DD73" s="361"/>
      <c r="DE73" s="361"/>
      <c r="DF73" s="361"/>
      <c r="DG73" s="361"/>
      <c r="DH73" s="361"/>
      <c r="DI73" s="361"/>
      <c r="DJ73" s="361"/>
      <c r="DK73" s="361"/>
      <c r="DL73" s="361"/>
      <c r="DM73" s="361"/>
      <c r="DN73" s="361"/>
      <c r="DO73" s="361"/>
      <c r="DP73" s="361"/>
      <c r="DQ73" s="361"/>
      <c r="DR73" s="361"/>
      <c r="DS73" s="361"/>
      <c r="DT73" s="361"/>
      <c r="DU73" s="361"/>
      <c r="DV73" s="361"/>
      <c r="DW73" s="361"/>
      <c r="DX73" s="361"/>
      <c r="DY73" s="361"/>
      <c r="DZ73" s="361"/>
      <c r="EA73" s="361"/>
    </row>
    <row r="74" spans="1:131" ht="15.75" customHeight="1" x14ac:dyDescent="0.25">
      <c r="B74" s="343"/>
      <c r="C74" s="198"/>
      <c r="D74" s="198"/>
      <c r="E74" s="198"/>
      <c r="F74" s="198"/>
      <c r="G74" s="198"/>
      <c r="H74" s="198"/>
      <c r="I74" s="198"/>
      <c r="J74" s="198"/>
      <c r="K74" s="429"/>
      <c r="L74" s="430"/>
      <c r="M74" s="198"/>
      <c r="N74" s="198"/>
      <c r="O74" s="198"/>
      <c r="P74" s="198"/>
      <c r="Q74" s="198"/>
      <c r="R74" s="198"/>
      <c r="S74" s="198"/>
      <c r="T74" s="198"/>
      <c r="U74" s="431"/>
      <c r="V74" s="343"/>
      <c r="W74" s="198"/>
      <c r="X74" s="198"/>
      <c r="Y74" s="198"/>
      <c r="Z74" s="198"/>
      <c r="AA74" s="198"/>
      <c r="AB74" s="198"/>
      <c r="AC74" s="198"/>
      <c r="AD74" s="198"/>
      <c r="AE74" s="429"/>
      <c r="AF74" s="430"/>
      <c r="AG74" s="198"/>
      <c r="AH74" s="198"/>
      <c r="AI74" s="198"/>
      <c r="AJ74" s="198"/>
      <c r="AK74" s="198"/>
      <c r="AL74" s="198"/>
      <c r="AM74" s="198"/>
      <c r="AN74" s="198"/>
      <c r="AO74" s="431"/>
      <c r="AP74" s="343"/>
      <c r="AQ74" s="198"/>
      <c r="AR74" s="198"/>
      <c r="AS74" s="198"/>
      <c r="AT74" s="198"/>
      <c r="AU74" s="198"/>
      <c r="AV74" s="198"/>
      <c r="AW74" s="198"/>
      <c r="AX74" s="198"/>
      <c r="AY74" s="429"/>
      <c r="AZ74" s="430"/>
      <c r="BA74" s="198"/>
      <c r="BB74" s="198"/>
      <c r="BC74" s="198"/>
      <c r="BD74" s="198"/>
      <c r="BE74" s="198"/>
      <c r="BF74" s="198"/>
      <c r="BG74" s="198"/>
      <c r="BH74" s="198"/>
      <c r="BI74" s="431"/>
      <c r="BJ74" s="343"/>
      <c r="BK74" s="198"/>
      <c r="BL74" s="198"/>
      <c r="BM74" s="198"/>
      <c r="BN74" s="198"/>
      <c r="BO74" s="198"/>
      <c r="BP74" s="198"/>
      <c r="BQ74" s="198"/>
      <c r="BR74" s="198"/>
      <c r="BS74" s="429"/>
      <c r="BT74" s="430"/>
      <c r="BU74" s="198"/>
      <c r="BV74" s="198"/>
      <c r="BW74" s="198"/>
      <c r="BX74" s="198"/>
      <c r="BY74" s="198"/>
      <c r="BZ74" s="198"/>
      <c r="CA74" s="198"/>
      <c r="CB74" s="198"/>
      <c r="CC74" s="431"/>
      <c r="CD74" s="343"/>
      <c r="CE74" s="198"/>
      <c r="CF74" s="198"/>
      <c r="CG74" s="198"/>
      <c r="CH74" s="198"/>
      <c r="CI74" s="467"/>
      <c r="CJ74" s="198"/>
      <c r="CK74" s="198"/>
      <c r="CL74" s="198"/>
      <c r="CM74" s="198"/>
      <c r="CN74" s="467"/>
      <c r="CO74" s="198"/>
      <c r="CP74" s="198"/>
      <c r="CQ74" s="198"/>
      <c r="CR74" s="198"/>
      <c r="CS74" s="467"/>
    </row>
    <row r="75" spans="1:131" ht="15.75" customHeight="1" x14ac:dyDescent="0.25">
      <c r="A75" s="19" t="s">
        <v>422</v>
      </c>
      <c r="B75" s="343"/>
      <c r="C75" s="198"/>
      <c r="D75" s="198"/>
      <c r="E75" s="198"/>
      <c r="F75" s="198"/>
      <c r="G75" s="198"/>
      <c r="H75" s="198"/>
      <c r="I75" s="198"/>
      <c r="J75" s="198"/>
      <c r="K75" s="429"/>
      <c r="L75" s="430"/>
      <c r="M75" s="198"/>
      <c r="N75" s="198"/>
      <c r="O75" s="198"/>
      <c r="P75" s="198"/>
      <c r="Q75" s="198"/>
      <c r="R75" s="198"/>
      <c r="S75" s="198"/>
      <c r="T75" s="198"/>
      <c r="U75" s="431"/>
      <c r="V75" s="343"/>
      <c r="W75" s="198"/>
      <c r="X75" s="198"/>
      <c r="Y75" s="198"/>
      <c r="Z75" s="198"/>
      <c r="AA75" s="198"/>
      <c r="AB75" s="198"/>
      <c r="AC75" s="198"/>
      <c r="AD75" s="198"/>
      <c r="AE75" s="429"/>
      <c r="AF75" s="430"/>
      <c r="AG75" s="198"/>
      <c r="AH75" s="198"/>
      <c r="AI75" s="198"/>
      <c r="AJ75" s="198"/>
      <c r="AK75" s="198"/>
      <c r="AL75" s="198"/>
      <c r="AM75" s="198"/>
      <c r="AN75" s="198"/>
      <c r="AO75" s="431"/>
      <c r="AP75" s="343"/>
      <c r="AQ75" s="198"/>
      <c r="AR75" s="198"/>
      <c r="AS75" s="198"/>
      <c r="AT75" s="198"/>
      <c r="AU75" s="198"/>
      <c r="AV75" s="198"/>
      <c r="AW75" s="198"/>
      <c r="AX75" s="198"/>
      <c r="AY75" s="429"/>
      <c r="AZ75" s="430"/>
      <c r="BA75" s="198"/>
      <c r="BB75" s="198"/>
      <c r="BC75" s="198"/>
      <c r="BD75" s="198"/>
      <c r="BE75" s="198"/>
      <c r="BF75" s="198"/>
      <c r="BG75" s="198"/>
      <c r="BH75" s="198"/>
      <c r="BI75" s="431"/>
      <c r="BJ75" s="343"/>
      <c r="BK75" s="198"/>
      <c r="BL75" s="198"/>
      <c r="BM75" s="198"/>
      <c r="BN75" s="198"/>
      <c r="BO75" s="198"/>
      <c r="BP75" s="198"/>
      <c r="BQ75" s="198"/>
      <c r="BR75" s="198"/>
      <c r="BS75" s="429"/>
      <c r="BT75" s="430"/>
      <c r="BU75" s="198"/>
      <c r="BV75" s="198"/>
      <c r="BW75" s="198"/>
      <c r="BX75" s="198"/>
      <c r="BY75" s="198"/>
      <c r="BZ75" s="198"/>
      <c r="CA75" s="198"/>
      <c r="CB75" s="198"/>
      <c r="CC75" s="431"/>
      <c r="CD75" s="343"/>
      <c r="CE75" s="198"/>
      <c r="CF75" s="198"/>
      <c r="CG75" s="198"/>
      <c r="CH75" s="198"/>
      <c r="CI75" s="467"/>
      <c r="CJ75" s="198"/>
      <c r="CK75" s="198"/>
      <c r="CL75" s="198"/>
      <c r="CM75" s="198"/>
      <c r="CN75" s="467"/>
      <c r="CO75" s="198"/>
      <c r="CP75" s="198"/>
      <c r="CQ75" s="198"/>
      <c r="CR75" s="198"/>
      <c r="CS75" s="467"/>
    </row>
    <row r="76" spans="1:131" s="17" customFormat="1" ht="15.75" customHeight="1" x14ac:dyDescent="0.25">
      <c r="A76" s="94" t="s">
        <v>258</v>
      </c>
      <c r="B76" s="343">
        <v>48</v>
      </c>
      <c r="C76" s="468"/>
      <c r="D76" s="468"/>
      <c r="E76" s="468"/>
      <c r="F76" s="468"/>
      <c r="G76" s="468"/>
      <c r="H76" s="468"/>
      <c r="I76" s="468"/>
      <c r="J76" s="468"/>
      <c r="K76" s="460">
        <f t="shared" ref="K76:K86" si="163">SUM(C76:J76)</f>
        <v>0</v>
      </c>
      <c r="L76" s="469"/>
      <c r="M76" s="468"/>
      <c r="N76" s="468"/>
      <c r="O76" s="468"/>
      <c r="P76" s="468"/>
      <c r="Q76" s="468"/>
      <c r="R76" s="468"/>
      <c r="S76" s="468"/>
      <c r="T76" s="462">
        <f t="shared" ref="T76:T86" si="164">SUM(L76:S76)</f>
        <v>0</v>
      </c>
      <c r="U76" s="463">
        <f t="shared" ref="U76:U86" si="165">SUM(T76,K76)</f>
        <v>0</v>
      </c>
      <c r="V76" s="343">
        <v>48</v>
      </c>
      <c r="W76" s="468"/>
      <c r="X76" s="468"/>
      <c r="Y76" s="468"/>
      <c r="Z76" s="468"/>
      <c r="AA76" s="468"/>
      <c r="AB76" s="468"/>
      <c r="AC76" s="468"/>
      <c r="AD76" s="468"/>
      <c r="AE76" s="460">
        <f t="shared" ref="AE76:AE86" si="166">SUM(W76:AD76)</f>
        <v>0</v>
      </c>
      <c r="AF76" s="469"/>
      <c r="AG76" s="468"/>
      <c r="AH76" s="468"/>
      <c r="AI76" s="468"/>
      <c r="AJ76" s="468"/>
      <c r="AK76" s="468"/>
      <c r="AL76" s="468"/>
      <c r="AM76" s="468"/>
      <c r="AN76" s="462">
        <f t="shared" ref="AN76:AN86" si="167">SUM(AF76:AM76)</f>
        <v>0</v>
      </c>
      <c r="AO76" s="463">
        <f t="shared" ref="AO76:AO86" si="168">SUM(AN76,AE76)</f>
        <v>0</v>
      </c>
      <c r="AP76" s="343">
        <v>48</v>
      </c>
      <c r="AQ76" s="468"/>
      <c r="AR76" s="468"/>
      <c r="AS76" s="468"/>
      <c r="AT76" s="468"/>
      <c r="AU76" s="468"/>
      <c r="AV76" s="468"/>
      <c r="AW76" s="468"/>
      <c r="AX76" s="468"/>
      <c r="AY76" s="460">
        <f t="shared" ref="AY76:AY86" si="169">SUM(AQ76:AX76)</f>
        <v>0</v>
      </c>
      <c r="AZ76" s="469"/>
      <c r="BA76" s="468"/>
      <c r="BB76" s="468"/>
      <c r="BC76" s="468"/>
      <c r="BD76" s="468"/>
      <c r="BE76" s="468"/>
      <c r="BF76" s="468"/>
      <c r="BG76" s="468"/>
      <c r="BH76" s="462">
        <f t="shared" ref="BH76:BH86" si="170">SUM(AZ76:BG76)</f>
        <v>0</v>
      </c>
      <c r="BI76" s="463">
        <f t="shared" ref="BI76:BI86" si="171">SUM(BH76,AY76)</f>
        <v>0</v>
      </c>
      <c r="BJ76" s="343">
        <v>48</v>
      </c>
      <c r="BK76" s="468"/>
      <c r="BL76" s="468"/>
      <c r="BM76" s="468"/>
      <c r="BN76" s="468"/>
      <c r="BO76" s="468"/>
      <c r="BP76" s="468"/>
      <c r="BQ76" s="468"/>
      <c r="BR76" s="468"/>
      <c r="BS76" s="460">
        <f t="shared" ref="BS76:BS86" si="172">SUM(BK76:BR76)</f>
        <v>0</v>
      </c>
      <c r="BT76" s="469"/>
      <c r="BU76" s="468"/>
      <c r="BV76" s="468"/>
      <c r="BW76" s="468"/>
      <c r="BX76" s="468"/>
      <c r="BY76" s="468"/>
      <c r="BZ76" s="468"/>
      <c r="CA76" s="468"/>
      <c r="CB76" s="462">
        <f t="shared" ref="CB76:CB86" si="173">SUM(BT76:CA76)</f>
        <v>0</v>
      </c>
      <c r="CC76" s="463">
        <f t="shared" ref="CC76:CC86" si="174">SUM(CB76,BS76)</f>
        <v>0</v>
      </c>
      <c r="CD76" s="343">
        <v>48</v>
      </c>
      <c r="CE76" s="462">
        <f t="shared" ref="CE76:CE86" si="175">+C76+D76+W76+X76+AQ76+AR76+BK76+BL76</f>
        <v>0</v>
      </c>
      <c r="CF76" s="462">
        <f t="shared" ref="CF76:CF86" si="176">+E76+F76+Y76+Z76+AS76+AT76+BM76+BN76</f>
        <v>0</v>
      </c>
      <c r="CG76" s="462">
        <f t="shared" ref="CG76:CG86" si="177">+G76+H76+AA76+AB76+AU76+AV76+BO76+BP76</f>
        <v>0</v>
      </c>
      <c r="CH76" s="462">
        <f t="shared" ref="CH76:CH86" si="178">+I76+J76+AC76+AD76+AW76+AX76+BQ76+BR76</f>
        <v>0</v>
      </c>
      <c r="CI76" s="464">
        <f t="shared" ref="CI76:CI86" si="179">SUM(K76,AE76,AY76,BS76)</f>
        <v>0</v>
      </c>
      <c r="CJ76" s="462">
        <f t="shared" ref="CJ76:CJ86" si="180">L76+M76+AF76+AG76+AZ76+BA76+BT76+BU76</f>
        <v>0</v>
      </c>
      <c r="CK76" s="462">
        <f t="shared" ref="CK76:CK86" si="181">N76+O76+AH76+AI76+BB76+BC76+BV76+BW76</f>
        <v>0</v>
      </c>
      <c r="CL76" s="462">
        <f t="shared" ref="CL76:CL86" si="182">P76+Q76+AJ76+AK76+BD76+BE76+BX76+BY76</f>
        <v>0</v>
      </c>
      <c r="CM76" s="462">
        <f t="shared" ref="CM76:CM86" si="183">+R76+S76+AL76+AM76+BF76+BG76+BZ76+CA76</f>
        <v>0</v>
      </c>
      <c r="CN76" s="464">
        <f t="shared" ref="CN76:CN86" si="184">SUM(T76,AN76,BH76,CB76)</f>
        <v>0</v>
      </c>
      <c r="CO76" s="462">
        <f t="shared" ref="CO76:CO86" si="185">+C76+D76+L76+M76+W76+X76+AF76+AG76+AQ76+AR76+AZ76+BA76+BK76+BL76+BT76+BU76</f>
        <v>0</v>
      </c>
      <c r="CP76" s="462">
        <f t="shared" ref="CP76:CP86" si="186">+E76+F76+N76+O76+Y76+Z76+AH76+AI76+AS76+AT76+BB76+BC76+BM76+BN76+BV76+BW76</f>
        <v>0</v>
      </c>
      <c r="CQ76" s="462">
        <f t="shared" ref="CQ76:CQ86" si="187">+G76+H76+P76+Q76+AA76+AB76+AJ76+AK76+AU76+AV76+BD76+BE76+BO76+BP76+BX76+BY76</f>
        <v>0</v>
      </c>
      <c r="CR76" s="462">
        <f t="shared" ref="CR76:CR86" si="188">+I76+J76+R76+S76+AC76+AD76+AL76+AM76+AW76+AX76+BF76+BG76+BQ76+BR76+BZ76+CA76</f>
        <v>0</v>
      </c>
      <c r="CS76" s="464">
        <f t="shared" ref="CS76:CS86" si="189">SUM(CC76,BI76,AO76,U76)</f>
        <v>0</v>
      </c>
      <c r="CT76" s="361"/>
      <c r="CU76" s="361"/>
      <c r="CV76" s="361"/>
      <c r="CW76" s="361"/>
      <c r="CX76" s="361"/>
      <c r="CY76" s="361"/>
      <c r="CZ76" s="361"/>
      <c r="DA76" s="361"/>
      <c r="DB76" s="361"/>
      <c r="DC76" s="361"/>
      <c r="DD76" s="361"/>
      <c r="DE76" s="361"/>
      <c r="DF76" s="361"/>
      <c r="DG76" s="361"/>
      <c r="DH76" s="361"/>
      <c r="DI76" s="361"/>
      <c r="DJ76" s="361"/>
      <c r="DK76" s="361"/>
      <c r="DL76" s="361"/>
      <c r="DM76" s="361"/>
      <c r="DN76" s="361"/>
      <c r="DO76" s="361"/>
      <c r="DP76" s="361"/>
      <c r="DQ76" s="361"/>
      <c r="DR76" s="361"/>
      <c r="DS76" s="361"/>
      <c r="DT76" s="361"/>
      <c r="DU76" s="361"/>
      <c r="DV76" s="361"/>
      <c r="DW76" s="361"/>
      <c r="DX76" s="361"/>
      <c r="DY76" s="361"/>
      <c r="DZ76" s="361"/>
      <c r="EA76" s="361"/>
    </row>
    <row r="77" spans="1:131" ht="15.75" customHeight="1" x14ac:dyDescent="0.25">
      <c r="A77" s="94" t="s">
        <v>330</v>
      </c>
      <c r="B77" s="343">
        <v>49</v>
      </c>
      <c r="C77" s="468"/>
      <c r="D77" s="468"/>
      <c r="E77" s="468"/>
      <c r="F77" s="468"/>
      <c r="G77" s="468"/>
      <c r="H77" s="468"/>
      <c r="I77" s="468"/>
      <c r="J77" s="468"/>
      <c r="K77" s="460">
        <f t="shared" si="163"/>
        <v>0</v>
      </c>
      <c r="L77" s="469"/>
      <c r="M77" s="468"/>
      <c r="N77" s="468"/>
      <c r="O77" s="468"/>
      <c r="P77" s="468"/>
      <c r="Q77" s="468"/>
      <c r="R77" s="468"/>
      <c r="S77" s="468"/>
      <c r="T77" s="462">
        <f t="shared" si="164"/>
        <v>0</v>
      </c>
      <c r="U77" s="463">
        <f t="shared" si="165"/>
        <v>0</v>
      </c>
      <c r="V77" s="343">
        <v>49</v>
      </c>
      <c r="W77" s="468"/>
      <c r="X77" s="468"/>
      <c r="Y77" s="468"/>
      <c r="Z77" s="468"/>
      <c r="AA77" s="468"/>
      <c r="AB77" s="468"/>
      <c r="AC77" s="468"/>
      <c r="AD77" s="468"/>
      <c r="AE77" s="460">
        <f t="shared" si="166"/>
        <v>0</v>
      </c>
      <c r="AF77" s="469"/>
      <c r="AG77" s="468"/>
      <c r="AH77" s="468"/>
      <c r="AI77" s="468"/>
      <c r="AJ77" s="468"/>
      <c r="AK77" s="468"/>
      <c r="AL77" s="468"/>
      <c r="AM77" s="468"/>
      <c r="AN77" s="462">
        <f t="shared" si="167"/>
        <v>0</v>
      </c>
      <c r="AO77" s="463">
        <f t="shared" si="168"/>
        <v>0</v>
      </c>
      <c r="AP77" s="343">
        <v>49</v>
      </c>
      <c r="AQ77" s="468"/>
      <c r="AR77" s="468"/>
      <c r="AS77" s="468"/>
      <c r="AT77" s="468"/>
      <c r="AU77" s="468"/>
      <c r="AV77" s="468"/>
      <c r="AW77" s="468"/>
      <c r="AX77" s="468"/>
      <c r="AY77" s="460">
        <f t="shared" si="169"/>
        <v>0</v>
      </c>
      <c r="AZ77" s="469"/>
      <c r="BA77" s="468"/>
      <c r="BB77" s="468"/>
      <c r="BC77" s="468"/>
      <c r="BD77" s="468"/>
      <c r="BE77" s="468"/>
      <c r="BF77" s="468"/>
      <c r="BG77" s="468"/>
      <c r="BH77" s="462">
        <f t="shared" si="170"/>
        <v>0</v>
      </c>
      <c r="BI77" s="463">
        <f t="shared" si="171"/>
        <v>0</v>
      </c>
      <c r="BJ77" s="343">
        <v>49</v>
      </c>
      <c r="BK77" s="468"/>
      <c r="BL77" s="468"/>
      <c r="BM77" s="468"/>
      <c r="BN77" s="468"/>
      <c r="BO77" s="468"/>
      <c r="BP77" s="468"/>
      <c r="BQ77" s="468"/>
      <c r="BR77" s="468"/>
      <c r="BS77" s="460">
        <f t="shared" si="172"/>
        <v>0</v>
      </c>
      <c r="BT77" s="469"/>
      <c r="BU77" s="468"/>
      <c r="BV77" s="468"/>
      <c r="BW77" s="468"/>
      <c r="BX77" s="468"/>
      <c r="BY77" s="468"/>
      <c r="BZ77" s="468"/>
      <c r="CA77" s="468"/>
      <c r="CB77" s="462">
        <f t="shared" si="173"/>
        <v>0</v>
      </c>
      <c r="CC77" s="463">
        <f t="shared" si="174"/>
        <v>0</v>
      </c>
      <c r="CD77" s="343">
        <v>49</v>
      </c>
      <c r="CE77" s="462">
        <f t="shared" si="175"/>
        <v>0</v>
      </c>
      <c r="CF77" s="462">
        <f t="shared" si="176"/>
        <v>0</v>
      </c>
      <c r="CG77" s="462">
        <f t="shared" si="177"/>
        <v>0</v>
      </c>
      <c r="CH77" s="462">
        <f t="shared" si="178"/>
        <v>0</v>
      </c>
      <c r="CI77" s="464">
        <f t="shared" si="179"/>
        <v>0</v>
      </c>
      <c r="CJ77" s="462">
        <f t="shared" si="180"/>
        <v>0</v>
      </c>
      <c r="CK77" s="462">
        <f t="shared" si="181"/>
        <v>0</v>
      </c>
      <c r="CL77" s="462">
        <f t="shared" si="182"/>
        <v>0</v>
      </c>
      <c r="CM77" s="462">
        <f t="shared" si="183"/>
        <v>0</v>
      </c>
      <c r="CN77" s="464">
        <f t="shared" si="184"/>
        <v>0</v>
      </c>
      <c r="CO77" s="462">
        <f t="shared" si="185"/>
        <v>0</v>
      </c>
      <c r="CP77" s="462">
        <f t="shared" si="186"/>
        <v>0</v>
      </c>
      <c r="CQ77" s="462">
        <f t="shared" si="187"/>
        <v>0</v>
      </c>
      <c r="CR77" s="462">
        <f t="shared" si="188"/>
        <v>0</v>
      </c>
      <c r="CS77" s="464">
        <f t="shared" si="189"/>
        <v>0</v>
      </c>
    </row>
    <row r="78" spans="1:131" ht="15.75" customHeight="1" x14ac:dyDescent="0.25">
      <c r="A78" s="94" t="s">
        <v>1332</v>
      </c>
      <c r="B78" s="343">
        <v>50</v>
      </c>
      <c r="C78" s="468"/>
      <c r="D78" s="468"/>
      <c r="E78" s="468"/>
      <c r="F78" s="468"/>
      <c r="G78" s="468"/>
      <c r="H78" s="468"/>
      <c r="I78" s="468"/>
      <c r="J78" s="468"/>
      <c r="K78" s="460">
        <f t="shared" si="163"/>
        <v>0</v>
      </c>
      <c r="L78" s="469"/>
      <c r="M78" s="468"/>
      <c r="N78" s="468"/>
      <c r="O78" s="468"/>
      <c r="P78" s="468"/>
      <c r="Q78" s="468"/>
      <c r="R78" s="468"/>
      <c r="S78" s="468"/>
      <c r="T78" s="462">
        <f t="shared" si="164"/>
        <v>0</v>
      </c>
      <c r="U78" s="463">
        <f t="shared" si="165"/>
        <v>0</v>
      </c>
      <c r="V78" s="343">
        <v>50</v>
      </c>
      <c r="W78" s="468"/>
      <c r="X78" s="468"/>
      <c r="Y78" s="468"/>
      <c r="Z78" s="468"/>
      <c r="AA78" s="468"/>
      <c r="AB78" s="468"/>
      <c r="AC78" s="468"/>
      <c r="AD78" s="468"/>
      <c r="AE78" s="460">
        <f t="shared" si="166"/>
        <v>0</v>
      </c>
      <c r="AF78" s="469"/>
      <c r="AG78" s="468"/>
      <c r="AH78" s="468"/>
      <c r="AI78" s="468"/>
      <c r="AJ78" s="468"/>
      <c r="AK78" s="468"/>
      <c r="AL78" s="468"/>
      <c r="AM78" s="468"/>
      <c r="AN78" s="462">
        <f t="shared" si="167"/>
        <v>0</v>
      </c>
      <c r="AO78" s="463">
        <f t="shared" si="168"/>
        <v>0</v>
      </c>
      <c r="AP78" s="343">
        <v>50</v>
      </c>
      <c r="AQ78" s="468"/>
      <c r="AR78" s="468"/>
      <c r="AS78" s="468"/>
      <c r="AT78" s="468"/>
      <c r="AU78" s="468"/>
      <c r="AV78" s="468"/>
      <c r="AW78" s="468"/>
      <c r="AX78" s="468"/>
      <c r="AY78" s="460">
        <f t="shared" si="169"/>
        <v>0</v>
      </c>
      <c r="AZ78" s="469"/>
      <c r="BA78" s="468"/>
      <c r="BB78" s="468"/>
      <c r="BC78" s="468"/>
      <c r="BD78" s="468"/>
      <c r="BE78" s="468"/>
      <c r="BF78" s="468"/>
      <c r="BG78" s="468"/>
      <c r="BH78" s="462">
        <f t="shared" si="170"/>
        <v>0</v>
      </c>
      <c r="BI78" s="463">
        <f t="shared" si="171"/>
        <v>0</v>
      </c>
      <c r="BJ78" s="343">
        <v>50</v>
      </c>
      <c r="BK78" s="468"/>
      <c r="BL78" s="468"/>
      <c r="BM78" s="468"/>
      <c r="BN78" s="468"/>
      <c r="BO78" s="468"/>
      <c r="BP78" s="468"/>
      <c r="BQ78" s="468"/>
      <c r="BR78" s="468"/>
      <c r="BS78" s="460">
        <f t="shared" si="172"/>
        <v>0</v>
      </c>
      <c r="BT78" s="469"/>
      <c r="BU78" s="468"/>
      <c r="BV78" s="468"/>
      <c r="BW78" s="468"/>
      <c r="BX78" s="468"/>
      <c r="BY78" s="468"/>
      <c r="BZ78" s="468"/>
      <c r="CA78" s="468"/>
      <c r="CB78" s="462">
        <f t="shared" si="173"/>
        <v>0</v>
      </c>
      <c r="CC78" s="463">
        <f t="shared" si="174"/>
        <v>0</v>
      </c>
      <c r="CD78" s="343">
        <v>50</v>
      </c>
      <c r="CE78" s="462">
        <f t="shared" si="175"/>
        <v>0</v>
      </c>
      <c r="CF78" s="462">
        <f t="shared" si="176"/>
        <v>0</v>
      </c>
      <c r="CG78" s="462">
        <f t="shared" si="177"/>
        <v>0</v>
      </c>
      <c r="CH78" s="462">
        <f t="shared" si="178"/>
        <v>0</v>
      </c>
      <c r="CI78" s="464">
        <f t="shared" si="179"/>
        <v>0</v>
      </c>
      <c r="CJ78" s="462">
        <f t="shared" si="180"/>
        <v>0</v>
      </c>
      <c r="CK78" s="462">
        <f t="shared" si="181"/>
        <v>0</v>
      </c>
      <c r="CL78" s="462">
        <f t="shared" si="182"/>
        <v>0</v>
      </c>
      <c r="CM78" s="462">
        <f t="shared" si="183"/>
        <v>0</v>
      </c>
      <c r="CN78" s="464">
        <f t="shared" si="184"/>
        <v>0</v>
      </c>
      <c r="CO78" s="462">
        <f t="shared" si="185"/>
        <v>0</v>
      </c>
      <c r="CP78" s="462">
        <f t="shared" si="186"/>
        <v>0</v>
      </c>
      <c r="CQ78" s="462">
        <f t="shared" si="187"/>
        <v>0</v>
      </c>
      <c r="CR78" s="462">
        <f t="shared" si="188"/>
        <v>0</v>
      </c>
      <c r="CS78" s="464">
        <f t="shared" si="189"/>
        <v>0</v>
      </c>
    </row>
    <row r="79" spans="1:131" ht="15.75" customHeight="1" x14ac:dyDescent="0.25">
      <c r="A79" s="94" t="s">
        <v>332</v>
      </c>
      <c r="B79" s="343">
        <v>51</v>
      </c>
      <c r="C79" s="468">
        <v>422.63591978725964</v>
      </c>
      <c r="D79" s="468">
        <v>1470.0060367284293</v>
      </c>
      <c r="E79" s="468">
        <v>404.70794069929048</v>
      </c>
      <c r="F79" s="468">
        <v>1594.7961554897906</v>
      </c>
      <c r="G79" s="468">
        <v>410.90324171957167</v>
      </c>
      <c r="H79" s="468">
        <v>1751.7480119569664</v>
      </c>
      <c r="I79" s="468">
        <v>467.74465510951393</v>
      </c>
      <c r="J79" s="468">
        <v>1868.9062802736514</v>
      </c>
      <c r="K79" s="460">
        <f t="shared" si="163"/>
        <v>8391.4482417644722</v>
      </c>
      <c r="L79" s="469">
        <v>0</v>
      </c>
      <c r="M79" s="468">
        <v>4094.6789498713338</v>
      </c>
      <c r="N79" s="468">
        <v>0</v>
      </c>
      <c r="O79" s="468">
        <v>4266.0398578820686</v>
      </c>
      <c r="P79" s="468">
        <v>0</v>
      </c>
      <c r="Q79" s="468">
        <v>4335.5184554670541</v>
      </c>
      <c r="R79" s="468">
        <v>0</v>
      </c>
      <c r="S79" s="468">
        <v>4539.6298054250619</v>
      </c>
      <c r="T79" s="462">
        <f t="shared" si="164"/>
        <v>17235.867068645519</v>
      </c>
      <c r="U79" s="463">
        <f t="shared" si="165"/>
        <v>25627.315310409991</v>
      </c>
      <c r="V79" s="343">
        <v>51</v>
      </c>
      <c r="W79" s="468">
        <v>108.87326606558319</v>
      </c>
      <c r="X79" s="468">
        <v>994.65897420910005</v>
      </c>
      <c r="Y79" s="468">
        <v>87.175501166636167</v>
      </c>
      <c r="Z79" s="468">
        <v>909.39236912305637</v>
      </c>
      <c r="AA79" s="468">
        <v>201.60746708901789</v>
      </c>
      <c r="AB79" s="468">
        <v>760.34121495386034</v>
      </c>
      <c r="AC79" s="468">
        <v>202.75640774341434</v>
      </c>
      <c r="AD79" s="468">
        <v>799.43224674819135</v>
      </c>
      <c r="AE79" s="460">
        <f t="shared" si="166"/>
        <v>4064.2374470988598</v>
      </c>
      <c r="AF79" s="469">
        <v>0</v>
      </c>
      <c r="AG79" s="468">
        <v>1645.0535622988352</v>
      </c>
      <c r="AH79" s="468">
        <v>0</v>
      </c>
      <c r="AI79" s="468">
        <v>1379.3481168616418</v>
      </c>
      <c r="AJ79" s="468">
        <v>0</v>
      </c>
      <c r="AK79" s="468">
        <v>1081.7461604324103</v>
      </c>
      <c r="AL79" s="468">
        <v>0</v>
      </c>
      <c r="AM79" s="468">
        <v>1152.3827102888263</v>
      </c>
      <c r="AN79" s="462">
        <f t="shared" si="167"/>
        <v>5258.5305498817143</v>
      </c>
      <c r="AO79" s="463">
        <f t="shared" si="168"/>
        <v>9322.767996980574</v>
      </c>
      <c r="AP79" s="343">
        <v>51</v>
      </c>
      <c r="AQ79" s="468">
        <v>12568.526597817885</v>
      </c>
      <c r="AR79" s="468">
        <v>26897.076795408047</v>
      </c>
      <c r="AS79" s="468">
        <v>13641.713686569437</v>
      </c>
      <c r="AT79" s="468">
        <v>28817.408345901909</v>
      </c>
      <c r="AU79" s="468">
        <v>14057.629369255068</v>
      </c>
      <c r="AV79" s="468">
        <v>31267.053163238957</v>
      </c>
      <c r="AW79" s="468">
        <v>15352.418148803721</v>
      </c>
      <c r="AX79" s="468">
        <v>34596.407960432902</v>
      </c>
      <c r="AY79" s="460">
        <f t="shared" si="169"/>
        <v>177198.23406742793</v>
      </c>
      <c r="AZ79" s="469">
        <v>0</v>
      </c>
      <c r="BA79" s="468">
        <v>24291.946308149338</v>
      </c>
      <c r="BB79" s="468">
        <v>0</v>
      </c>
      <c r="BC79" s="468">
        <v>21475.675575626909</v>
      </c>
      <c r="BD79" s="468">
        <v>0</v>
      </c>
      <c r="BE79" s="468">
        <v>24255.381731638863</v>
      </c>
      <c r="BF79" s="468">
        <v>0</v>
      </c>
      <c r="BG79" s="468">
        <v>25479.761310524067</v>
      </c>
      <c r="BH79" s="462">
        <f t="shared" si="170"/>
        <v>95502.764925939176</v>
      </c>
      <c r="BI79" s="463">
        <f t="shared" si="171"/>
        <v>272700.99899336707</v>
      </c>
      <c r="BJ79" s="343">
        <v>51</v>
      </c>
      <c r="BK79" s="468">
        <v>515.80637217103299</v>
      </c>
      <c r="BL79" s="468">
        <v>4124.5135334188117</v>
      </c>
      <c r="BM79" s="468">
        <v>517.82337885795516</v>
      </c>
      <c r="BN79" s="468">
        <v>3147.2331351113899</v>
      </c>
      <c r="BO79" s="468">
        <v>443.28296377953473</v>
      </c>
      <c r="BP79" s="468">
        <v>2831.980003629576</v>
      </c>
      <c r="BQ79" s="468">
        <v>336.45973332395602</v>
      </c>
      <c r="BR79" s="468">
        <v>2262.0151985160473</v>
      </c>
      <c r="BS79" s="460">
        <f t="shared" si="172"/>
        <v>14179.114318808304</v>
      </c>
      <c r="BT79" s="469">
        <v>0</v>
      </c>
      <c r="BU79" s="468">
        <v>1818.9003734611158</v>
      </c>
      <c r="BV79" s="468">
        <v>0</v>
      </c>
      <c r="BW79" s="468">
        <v>1512.9961149143605</v>
      </c>
      <c r="BX79" s="468">
        <v>0</v>
      </c>
      <c r="BY79" s="468">
        <v>1180.8433073831904</v>
      </c>
      <c r="BZ79" s="468">
        <v>0</v>
      </c>
      <c r="CA79" s="468">
        <v>1085.2585985908363</v>
      </c>
      <c r="CB79" s="462">
        <f t="shared" si="173"/>
        <v>5597.9983943495026</v>
      </c>
      <c r="CC79" s="463">
        <f t="shared" si="174"/>
        <v>19777.112713157807</v>
      </c>
      <c r="CD79" s="343">
        <v>51</v>
      </c>
      <c r="CE79" s="462">
        <f t="shared" si="175"/>
        <v>47102.097495606147</v>
      </c>
      <c r="CF79" s="462">
        <f t="shared" si="176"/>
        <v>49120.250512919461</v>
      </c>
      <c r="CG79" s="462">
        <f t="shared" si="177"/>
        <v>51724.545435622553</v>
      </c>
      <c r="CH79" s="462">
        <f t="shared" si="178"/>
        <v>55886.140630951399</v>
      </c>
      <c r="CI79" s="464">
        <f t="shared" si="179"/>
        <v>203833.03407509957</v>
      </c>
      <c r="CJ79" s="462">
        <f t="shared" si="180"/>
        <v>31850.579193780621</v>
      </c>
      <c r="CK79" s="462">
        <f t="shared" si="181"/>
        <v>28634.059665284978</v>
      </c>
      <c r="CL79" s="462">
        <f t="shared" si="182"/>
        <v>30853.489654921519</v>
      </c>
      <c r="CM79" s="462">
        <f t="shared" si="183"/>
        <v>32257.032424828794</v>
      </c>
      <c r="CN79" s="464">
        <f t="shared" si="184"/>
        <v>123595.16093881591</v>
      </c>
      <c r="CO79" s="462">
        <f t="shared" si="185"/>
        <v>78952.676689386775</v>
      </c>
      <c r="CP79" s="462">
        <f t="shared" si="186"/>
        <v>77754.31017820444</v>
      </c>
      <c r="CQ79" s="462">
        <f t="shared" si="187"/>
        <v>82578.035090544072</v>
      </c>
      <c r="CR79" s="462">
        <f t="shared" si="188"/>
        <v>88143.173055780193</v>
      </c>
      <c r="CS79" s="464">
        <f t="shared" si="189"/>
        <v>327428.19501391542</v>
      </c>
    </row>
    <row r="80" spans="1:131" ht="15.75" customHeight="1" x14ac:dyDescent="0.25">
      <c r="A80" s="94" t="s">
        <v>141</v>
      </c>
      <c r="B80" s="343">
        <v>52</v>
      </c>
      <c r="C80" s="468"/>
      <c r="D80" s="468"/>
      <c r="E80" s="468"/>
      <c r="F80" s="468"/>
      <c r="G80" s="468"/>
      <c r="H80" s="468"/>
      <c r="I80" s="468"/>
      <c r="J80" s="468"/>
      <c r="K80" s="460">
        <f t="shared" si="163"/>
        <v>0</v>
      </c>
      <c r="L80" s="469"/>
      <c r="M80" s="468"/>
      <c r="N80" s="468"/>
      <c r="O80" s="468"/>
      <c r="P80" s="468"/>
      <c r="Q80" s="468"/>
      <c r="R80" s="468"/>
      <c r="S80" s="468"/>
      <c r="T80" s="462">
        <f t="shared" si="164"/>
        <v>0</v>
      </c>
      <c r="U80" s="463">
        <f t="shared" si="165"/>
        <v>0</v>
      </c>
      <c r="V80" s="343">
        <v>52</v>
      </c>
      <c r="W80" s="468"/>
      <c r="X80" s="468"/>
      <c r="Y80" s="468"/>
      <c r="Z80" s="468"/>
      <c r="AA80" s="468"/>
      <c r="AB80" s="468"/>
      <c r="AC80" s="468"/>
      <c r="AD80" s="468"/>
      <c r="AE80" s="460">
        <f t="shared" si="166"/>
        <v>0</v>
      </c>
      <c r="AF80" s="469"/>
      <c r="AG80" s="468"/>
      <c r="AH80" s="468"/>
      <c r="AI80" s="468"/>
      <c r="AJ80" s="468"/>
      <c r="AK80" s="468"/>
      <c r="AL80" s="468"/>
      <c r="AM80" s="468"/>
      <c r="AN80" s="462">
        <f t="shared" si="167"/>
        <v>0</v>
      </c>
      <c r="AO80" s="463">
        <f t="shared" si="168"/>
        <v>0</v>
      </c>
      <c r="AP80" s="343">
        <v>52</v>
      </c>
      <c r="AQ80" s="468"/>
      <c r="AR80" s="468"/>
      <c r="AS80" s="468"/>
      <c r="AT80" s="468"/>
      <c r="AU80" s="468"/>
      <c r="AV80" s="468"/>
      <c r="AW80" s="468"/>
      <c r="AX80" s="468"/>
      <c r="AY80" s="460">
        <f t="shared" si="169"/>
        <v>0</v>
      </c>
      <c r="AZ80" s="469"/>
      <c r="BA80" s="468"/>
      <c r="BB80" s="468"/>
      <c r="BC80" s="468"/>
      <c r="BD80" s="468"/>
      <c r="BE80" s="468"/>
      <c r="BF80" s="468"/>
      <c r="BG80" s="468"/>
      <c r="BH80" s="462">
        <f t="shared" si="170"/>
        <v>0</v>
      </c>
      <c r="BI80" s="463">
        <f t="shared" si="171"/>
        <v>0</v>
      </c>
      <c r="BJ80" s="343">
        <v>52</v>
      </c>
      <c r="BK80" s="468"/>
      <c r="BL80" s="468"/>
      <c r="BM80" s="468"/>
      <c r="BN80" s="468"/>
      <c r="BO80" s="468"/>
      <c r="BP80" s="468"/>
      <c r="BQ80" s="468"/>
      <c r="BR80" s="468"/>
      <c r="BS80" s="460">
        <f t="shared" si="172"/>
        <v>0</v>
      </c>
      <c r="BT80" s="469"/>
      <c r="BU80" s="468"/>
      <c r="BV80" s="468"/>
      <c r="BW80" s="468"/>
      <c r="BX80" s="468"/>
      <c r="BY80" s="468"/>
      <c r="BZ80" s="468"/>
      <c r="CA80" s="468"/>
      <c r="CB80" s="462">
        <f t="shared" si="173"/>
        <v>0</v>
      </c>
      <c r="CC80" s="463">
        <f t="shared" si="174"/>
        <v>0</v>
      </c>
      <c r="CD80" s="343">
        <v>52</v>
      </c>
      <c r="CE80" s="462">
        <f t="shared" si="175"/>
        <v>0</v>
      </c>
      <c r="CF80" s="462">
        <f t="shared" si="176"/>
        <v>0</v>
      </c>
      <c r="CG80" s="462">
        <f t="shared" si="177"/>
        <v>0</v>
      </c>
      <c r="CH80" s="462">
        <f t="shared" si="178"/>
        <v>0</v>
      </c>
      <c r="CI80" s="464">
        <f t="shared" si="179"/>
        <v>0</v>
      </c>
      <c r="CJ80" s="462">
        <f t="shared" si="180"/>
        <v>0</v>
      </c>
      <c r="CK80" s="462">
        <f t="shared" si="181"/>
        <v>0</v>
      </c>
      <c r="CL80" s="462">
        <f t="shared" si="182"/>
        <v>0</v>
      </c>
      <c r="CM80" s="462">
        <f t="shared" si="183"/>
        <v>0</v>
      </c>
      <c r="CN80" s="464">
        <f t="shared" si="184"/>
        <v>0</v>
      </c>
      <c r="CO80" s="462">
        <f t="shared" si="185"/>
        <v>0</v>
      </c>
      <c r="CP80" s="462">
        <f t="shared" si="186"/>
        <v>0</v>
      </c>
      <c r="CQ80" s="462">
        <f t="shared" si="187"/>
        <v>0</v>
      </c>
      <c r="CR80" s="462">
        <f t="shared" si="188"/>
        <v>0</v>
      </c>
      <c r="CS80" s="464">
        <f t="shared" si="189"/>
        <v>0</v>
      </c>
    </row>
    <row r="81" spans="1:131" ht="15.75" customHeight="1" x14ac:dyDescent="0.25">
      <c r="A81" s="94" t="s">
        <v>257</v>
      </c>
      <c r="B81" s="343">
        <v>53</v>
      </c>
      <c r="C81" s="468">
        <v>1585.9898456416188</v>
      </c>
      <c r="D81" s="468">
        <v>5516.3665418138689</v>
      </c>
      <c r="E81" s="468">
        <v>2956.290804527775</v>
      </c>
      <c r="F81" s="468">
        <v>11649.589087439868</v>
      </c>
      <c r="G81" s="468">
        <v>2936.8592277470748</v>
      </c>
      <c r="H81" s="468">
        <v>12520.313278799733</v>
      </c>
      <c r="I81" s="468">
        <v>3486.921082826048</v>
      </c>
      <c r="J81" s="468">
        <v>13932.235546307695</v>
      </c>
      <c r="K81" s="460">
        <f t="shared" si="163"/>
        <v>54584.56541510368</v>
      </c>
      <c r="L81" s="469">
        <v>0</v>
      </c>
      <c r="M81" s="468">
        <v>15365.753197048036</v>
      </c>
      <c r="N81" s="468">
        <v>0</v>
      </c>
      <c r="O81" s="468">
        <v>31162.359655741362</v>
      </c>
      <c r="P81" s="468">
        <v>0</v>
      </c>
      <c r="Q81" s="468">
        <v>30987.361719808228</v>
      </c>
      <c r="R81" s="468">
        <v>0</v>
      </c>
      <c r="S81" s="468">
        <v>33841.820967587555</v>
      </c>
      <c r="T81" s="462">
        <f t="shared" si="164"/>
        <v>111357.29554018518</v>
      </c>
      <c r="U81" s="463">
        <f t="shared" si="165"/>
        <v>165941.86095528887</v>
      </c>
      <c r="V81" s="343">
        <v>53</v>
      </c>
      <c r="W81" s="468">
        <v>408.55943936040802</v>
      </c>
      <c r="X81" s="468">
        <v>3732.572077087083</v>
      </c>
      <c r="Y81" s="468">
        <v>636.79534440001817</v>
      </c>
      <c r="Z81" s="468">
        <v>6642.8849750289392</v>
      </c>
      <c r="AA81" s="468">
        <v>1440.9541955066422</v>
      </c>
      <c r="AB81" s="468">
        <v>5434.4061731633356</v>
      </c>
      <c r="AC81" s="468">
        <v>1511.4990307544101</v>
      </c>
      <c r="AD81" s="468">
        <v>5959.5703019302437</v>
      </c>
      <c r="AE81" s="460">
        <f t="shared" si="166"/>
        <v>25767.241537231079</v>
      </c>
      <c r="AF81" s="469">
        <v>0</v>
      </c>
      <c r="AG81" s="468">
        <v>6173.2524927266586</v>
      </c>
      <c r="AH81" s="468">
        <v>0</v>
      </c>
      <c r="AI81" s="468">
        <v>10075.794774559814</v>
      </c>
      <c r="AJ81" s="468">
        <v>0</v>
      </c>
      <c r="AK81" s="468">
        <v>7731.5919437648263</v>
      </c>
      <c r="AL81" s="468">
        <v>0</v>
      </c>
      <c r="AM81" s="468">
        <v>8590.7289887674415</v>
      </c>
      <c r="AN81" s="462">
        <f t="shared" si="167"/>
        <v>32571.368199818739</v>
      </c>
      <c r="AO81" s="463">
        <f t="shared" si="168"/>
        <v>58338.609737049817</v>
      </c>
      <c r="AP81" s="343">
        <v>53</v>
      </c>
      <c r="AQ81" s="468">
        <v>47164.840056305751</v>
      </c>
      <c r="AR81" s="468">
        <v>100934.37087986461</v>
      </c>
      <c r="AS81" s="468">
        <v>99649.324053098884</v>
      </c>
      <c r="AT81" s="468">
        <v>210503.99741628082</v>
      </c>
      <c r="AU81" s="468">
        <v>100474.45320842935</v>
      </c>
      <c r="AV81" s="468">
        <v>223475.80715750507</v>
      </c>
      <c r="AW81" s="468">
        <v>114448.49220755124</v>
      </c>
      <c r="AX81" s="468">
        <v>257907.69170636468</v>
      </c>
      <c r="AY81" s="460">
        <f t="shared" si="169"/>
        <v>1154558.9766854004</v>
      </c>
      <c r="AZ81" s="469">
        <v>0</v>
      </c>
      <c r="BA81" s="468">
        <v>91158.319422990156</v>
      </c>
      <c r="BB81" s="468">
        <v>0</v>
      </c>
      <c r="BC81" s="468">
        <v>156874.46635108453</v>
      </c>
      <c r="BD81" s="468">
        <v>0</v>
      </c>
      <c r="BE81" s="468">
        <v>173361.10896323074</v>
      </c>
      <c r="BF81" s="468">
        <v>0</v>
      </c>
      <c r="BG81" s="468">
        <v>189945.33861266714</v>
      </c>
      <c r="BH81" s="462">
        <f t="shared" si="170"/>
        <v>611339.23334997252</v>
      </c>
      <c r="BI81" s="463">
        <f t="shared" si="171"/>
        <v>1765898.210035373</v>
      </c>
      <c r="BJ81" s="343">
        <v>53</v>
      </c>
      <c r="BK81" s="468">
        <v>1935.6226725648048</v>
      </c>
      <c r="BL81" s="468">
        <v>15477.710899505186</v>
      </c>
      <c r="BM81" s="468">
        <v>3782.5709340967201</v>
      </c>
      <c r="BN81" s="468">
        <v>22989.754935271114</v>
      </c>
      <c r="BO81" s="468">
        <v>3168.2876417107373</v>
      </c>
      <c r="BP81" s="468">
        <v>20241.082965538848</v>
      </c>
      <c r="BQ81" s="468">
        <v>2508.2243588109982</v>
      </c>
      <c r="BR81" s="468">
        <v>16862.765612002229</v>
      </c>
      <c r="BS81" s="460">
        <f t="shared" si="172"/>
        <v>86966.020019500633</v>
      </c>
      <c r="BT81" s="469">
        <v>0</v>
      </c>
      <c r="BU81" s="468">
        <v>6825.632624872881</v>
      </c>
      <c r="BV81" s="468">
        <v>0</v>
      </c>
      <c r="BW81" s="468">
        <v>11052.060145098641</v>
      </c>
      <c r="BX81" s="468">
        <v>0</v>
      </c>
      <c r="BY81" s="468">
        <v>8439.8715115965842</v>
      </c>
      <c r="BZ81" s="468">
        <v>0</v>
      </c>
      <c r="CA81" s="468">
        <v>8090.3352853035467</v>
      </c>
      <c r="CB81" s="462">
        <f t="shared" si="173"/>
        <v>34407.899566871652</v>
      </c>
      <c r="CC81" s="463">
        <f t="shared" si="174"/>
        <v>121373.91958637229</v>
      </c>
      <c r="CD81" s="343">
        <v>53</v>
      </c>
      <c r="CE81" s="462">
        <f t="shared" si="175"/>
        <v>176756.03241214334</v>
      </c>
      <c r="CF81" s="462">
        <f t="shared" si="176"/>
        <v>358811.20755014411</v>
      </c>
      <c r="CG81" s="462">
        <f t="shared" si="177"/>
        <v>369692.16384840076</v>
      </c>
      <c r="CH81" s="462">
        <f t="shared" si="178"/>
        <v>416617.39984654757</v>
      </c>
      <c r="CI81" s="464">
        <f t="shared" si="179"/>
        <v>1321876.8036572356</v>
      </c>
      <c r="CJ81" s="462">
        <f t="shared" si="180"/>
        <v>119522.95773763774</v>
      </c>
      <c r="CK81" s="462">
        <f t="shared" si="181"/>
        <v>209164.68092648432</v>
      </c>
      <c r="CL81" s="462">
        <f t="shared" si="182"/>
        <v>220519.93413840036</v>
      </c>
      <c r="CM81" s="462">
        <f t="shared" si="183"/>
        <v>240468.22385432565</v>
      </c>
      <c r="CN81" s="464">
        <f t="shared" si="184"/>
        <v>789675.79665684816</v>
      </c>
      <c r="CO81" s="462">
        <f t="shared" si="185"/>
        <v>296278.99014978111</v>
      </c>
      <c r="CP81" s="462">
        <f t="shared" si="186"/>
        <v>567975.88847662834</v>
      </c>
      <c r="CQ81" s="462">
        <f t="shared" si="187"/>
        <v>590212.09798680118</v>
      </c>
      <c r="CR81" s="462">
        <f t="shared" si="188"/>
        <v>657085.62370087323</v>
      </c>
      <c r="CS81" s="464">
        <f t="shared" si="189"/>
        <v>2111552.600314084</v>
      </c>
    </row>
    <row r="82" spans="1:131" ht="15.75" customHeight="1" x14ac:dyDescent="0.25">
      <c r="A82" s="94" t="s">
        <v>333</v>
      </c>
      <c r="B82" s="343">
        <v>54</v>
      </c>
      <c r="C82" s="468"/>
      <c r="D82" s="468"/>
      <c r="E82" s="468"/>
      <c r="F82" s="468"/>
      <c r="G82" s="468"/>
      <c r="H82" s="468"/>
      <c r="I82" s="468"/>
      <c r="J82" s="468"/>
      <c r="K82" s="460">
        <f t="shared" si="163"/>
        <v>0</v>
      </c>
      <c r="L82" s="469"/>
      <c r="M82" s="468"/>
      <c r="N82" s="468"/>
      <c r="O82" s="468"/>
      <c r="P82" s="468"/>
      <c r="Q82" s="468"/>
      <c r="R82" s="468"/>
      <c r="S82" s="468"/>
      <c r="T82" s="462">
        <f t="shared" si="164"/>
        <v>0</v>
      </c>
      <c r="U82" s="463">
        <f t="shared" si="165"/>
        <v>0</v>
      </c>
      <c r="V82" s="343">
        <v>54</v>
      </c>
      <c r="W82" s="468"/>
      <c r="X82" s="468"/>
      <c r="Y82" s="468"/>
      <c r="Z82" s="468"/>
      <c r="AA82" s="468"/>
      <c r="AB82" s="468"/>
      <c r="AC82" s="468"/>
      <c r="AD82" s="468"/>
      <c r="AE82" s="460">
        <f t="shared" si="166"/>
        <v>0</v>
      </c>
      <c r="AF82" s="469"/>
      <c r="AG82" s="468"/>
      <c r="AH82" s="468"/>
      <c r="AI82" s="468"/>
      <c r="AJ82" s="468"/>
      <c r="AK82" s="468"/>
      <c r="AL82" s="468"/>
      <c r="AM82" s="468"/>
      <c r="AN82" s="462">
        <f t="shared" si="167"/>
        <v>0</v>
      </c>
      <c r="AO82" s="463">
        <f t="shared" si="168"/>
        <v>0</v>
      </c>
      <c r="AP82" s="343">
        <v>54</v>
      </c>
      <c r="AQ82" s="468"/>
      <c r="AR82" s="468"/>
      <c r="AS82" s="468"/>
      <c r="AT82" s="468"/>
      <c r="AU82" s="468"/>
      <c r="AV82" s="468"/>
      <c r="AW82" s="468"/>
      <c r="AX82" s="468"/>
      <c r="AY82" s="460">
        <f t="shared" si="169"/>
        <v>0</v>
      </c>
      <c r="AZ82" s="469"/>
      <c r="BA82" s="468"/>
      <c r="BB82" s="468"/>
      <c r="BC82" s="468"/>
      <c r="BD82" s="468"/>
      <c r="BE82" s="468"/>
      <c r="BF82" s="468"/>
      <c r="BG82" s="468"/>
      <c r="BH82" s="462">
        <f t="shared" si="170"/>
        <v>0</v>
      </c>
      <c r="BI82" s="463">
        <f t="shared" si="171"/>
        <v>0</v>
      </c>
      <c r="BJ82" s="343">
        <v>54</v>
      </c>
      <c r="BK82" s="468"/>
      <c r="BL82" s="468"/>
      <c r="BM82" s="468"/>
      <c r="BN82" s="468"/>
      <c r="BO82" s="468"/>
      <c r="BP82" s="468"/>
      <c r="BQ82" s="468"/>
      <c r="BR82" s="468"/>
      <c r="BS82" s="460">
        <f t="shared" si="172"/>
        <v>0</v>
      </c>
      <c r="BT82" s="469"/>
      <c r="BU82" s="468"/>
      <c r="BV82" s="468"/>
      <c r="BW82" s="468"/>
      <c r="BX82" s="468"/>
      <c r="BY82" s="468"/>
      <c r="BZ82" s="468"/>
      <c r="CA82" s="468"/>
      <c r="CB82" s="462">
        <f t="shared" si="173"/>
        <v>0</v>
      </c>
      <c r="CC82" s="463">
        <f t="shared" si="174"/>
        <v>0</v>
      </c>
      <c r="CD82" s="343">
        <v>54</v>
      </c>
      <c r="CE82" s="462">
        <f t="shared" si="175"/>
        <v>0</v>
      </c>
      <c r="CF82" s="462">
        <f t="shared" si="176"/>
        <v>0</v>
      </c>
      <c r="CG82" s="462">
        <f t="shared" si="177"/>
        <v>0</v>
      </c>
      <c r="CH82" s="462">
        <f t="shared" si="178"/>
        <v>0</v>
      </c>
      <c r="CI82" s="464">
        <f t="shared" si="179"/>
        <v>0</v>
      </c>
      <c r="CJ82" s="462">
        <f t="shared" si="180"/>
        <v>0</v>
      </c>
      <c r="CK82" s="462">
        <f t="shared" si="181"/>
        <v>0</v>
      </c>
      <c r="CL82" s="462">
        <f t="shared" si="182"/>
        <v>0</v>
      </c>
      <c r="CM82" s="462">
        <f t="shared" si="183"/>
        <v>0</v>
      </c>
      <c r="CN82" s="464">
        <f t="shared" si="184"/>
        <v>0</v>
      </c>
      <c r="CO82" s="462">
        <f t="shared" si="185"/>
        <v>0</v>
      </c>
      <c r="CP82" s="462">
        <f t="shared" si="186"/>
        <v>0</v>
      </c>
      <c r="CQ82" s="462">
        <f t="shared" si="187"/>
        <v>0</v>
      </c>
      <c r="CR82" s="462">
        <f t="shared" si="188"/>
        <v>0</v>
      </c>
      <c r="CS82" s="464">
        <f t="shared" si="189"/>
        <v>0</v>
      </c>
    </row>
    <row r="83" spans="1:131" ht="15.75" customHeight="1" x14ac:dyDescent="0.25">
      <c r="A83" s="94" t="s">
        <v>319</v>
      </c>
      <c r="B83" s="343">
        <v>55</v>
      </c>
      <c r="C83" s="468"/>
      <c r="D83" s="468"/>
      <c r="E83" s="468"/>
      <c r="F83" s="468"/>
      <c r="G83" s="468"/>
      <c r="H83" s="468"/>
      <c r="I83" s="468"/>
      <c r="J83" s="468"/>
      <c r="K83" s="460">
        <f t="shared" si="163"/>
        <v>0</v>
      </c>
      <c r="L83" s="469"/>
      <c r="M83" s="468"/>
      <c r="N83" s="468"/>
      <c r="O83" s="468"/>
      <c r="P83" s="468"/>
      <c r="Q83" s="468"/>
      <c r="R83" s="468"/>
      <c r="S83" s="468"/>
      <c r="T83" s="462">
        <f t="shared" si="164"/>
        <v>0</v>
      </c>
      <c r="U83" s="463">
        <f t="shared" si="165"/>
        <v>0</v>
      </c>
      <c r="V83" s="343">
        <v>55</v>
      </c>
      <c r="W83" s="468"/>
      <c r="X83" s="468"/>
      <c r="Y83" s="468"/>
      <c r="Z83" s="468"/>
      <c r="AA83" s="468"/>
      <c r="AB83" s="468"/>
      <c r="AC83" s="468"/>
      <c r="AD83" s="468"/>
      <c r="AE83" s="460">
        <f t="shared" si="166"/>
        <v>0</v>
      </c>
      <c r="AF83" s="469"/>
      <c r="AG83" s="468"/>
      <c r="AH83" s="468"/>
      <c r="AI83" s="468"/>
      <c r="AJ83" s="468"/>
      <c r="AK83" s="468"/>
      <c r="AL83" s="468"/>
      <c r="AM83" s="468"/>
      <c r="AN83" s="462">
        <f t="shared" si="167"/>
        <v>0</v>
      </c>
      <c r="AO83" s="463">
        <f t="shared" si="168"/>
        <v>0</v>
      </c>
      <c r="AP83" s="343">
        <v>55</v>
      </c>
      <c r="AQ83" s="468"/>
      <c r="AR83" s="468"/>
      <c r="AS83" s="468"/>
      <c r="AT83" s="468"/>
      <c r="AU83" s="468"/>
      <c r="AV83" s="468"/>
      <c r="AW83" s="468"/>
      <c r="AX83" s="468"/>
      <c r="AY83" s="460">
        <f t="shared" si="169"/>
        <v>0</v>
      </c>
      <c r="AZ83" s="469"/>
      <c r="BA83" s="468"/>
      <c r="BB83" s="468"/>
      <c r="BC83" s="468"/>
      <c r="BD83" s="468"/>
      <c r="BE83" s="468"/>
      <c r="BF83" s="468"/>
      <c r="BG83" s="468"/>
      <c r="BH83" s="462">
        <f t="shared" si="170"/>
        <v>0</v>
      </c>
      <c r="BI83" s="463">
        <f t="shared" si="171"/>
        <v>0</v>
      </c>
      <c r="BJ83" s="343">
        <v>55</v>
      </c>
      <c r="BK83" s="468"/>
      <c r="BL83" s="468"/>
      <c r="BM83" s="468"/>
      <c r="BN83" s="468"/>
      <c r="BO83" s="468"/>
      <c r="BP83" s="468"/>
      <c r="BQ83" s="468"/>
      <c r="BR83" s="468"/>
      <c r="BS83" s="460">
        <f t="shared" si="172"/>
        <v>0</v>
      </c>
      <c r="BT83" s="469"/>
      <c r="BU83" s="468"/>
      <c r="BV83" s="468"/>
      <c r="BW83" s="468"/>
      <c r="BX83" s="468"/>
      <c r="BY83" s="468"/>
      <c r="BZ83" s="468"/>
      <c r="CA83" s="468"/>
      <c r="CB83" s="462">
        <f t="shared" si="173"/>
        <v>0</v>
      </c>
      <c r="CC83" s="463">
        <f t="shared" si="174"/>
        <v>0</v>
      </c>
      <c r="CD83" s="343">
        <v>55</v>
      </c>
      <c r="CE83" s="462">
        <f t="shared" si="175"/>
        <v>0</v>
      </c>
      <c r="CF83" s="462">
        <f t="shared" si="176"/>
        <v>0</v>
      </c>
      <c r="CG83" s="462">
        <f t="shared" si="177"/>
        <v>0</v>
      </c>
      <c r="CH83" s="462">
        <f t="shared" si="178"/>
        <v>0</v>
      </c>
      <c r="CI83" s="464">
        <f t="shared" si="179"/>
        <v>0</v>
      </c>
      <c r="CJ83" s="462">
        <f t="shared" si="180"/>
        <v>0</v>
      </c>
      <c r="CK83" s="462">
        <f t="shared" si="181"/>
        <v>0</v>
      </c>
      <c r="CL83" s="462">
        <f t="shared" si="182"/>
        <v>0</v>
      </c>
      <c r="CM83" s="462">
        <f t="shared" si="183"/>
        <v>0</v>
      </c>
      <c r="CN83" s="464">
        <f t="shared" si="184"/>
        <v>0</v>
      </c>
      <c r="CO83" s="462">
        <f t="shared" si="185"/>
        <v>0</v>
      </c>
      <c r="CP83" s="462">
        <f t="shared" si="186"/>
        <v>0</v>
      </c>
      <c r="CQ83" s="462">
        <f t="shared" si="187"/>
        <v>0</v>
      </c>
      <c r="CR83" s="462">
        <f t="shared" si="188"/>
        <v>0</v>
      </c>
      <c r="CS83" s="464">
        <f t="shared" si="189"/>
        <v>0</v>
      </c>
    </row>
    <row r="84" spans="1:131" ht="15.75" customHeight="1" x14ac:dyDescent="0.25">
      <c r="A84" s="94" t="s">
        <v>320</v>
      </c>
      <c r="B84" s="343">
        <v>56</v>
      </c>
      <c r="C84" s="468"/>
      <c r="D84" s="468"/>
      <c r="E84" s="468"/>
      <c r="F84" s="468"/>
      <c r="G84" s="468"/>
      <c r="H84" s="468"/>
      <c r="I84" s="468"/>
      <c r="J84" s="468"/>
      <c r="K84" s="460">
        <f t="shared" si="163"/>
        <v>0</v>
      </c>
      <c r="L84" s="469"/>
      <c r="M84" s="468"/>
      <c r="N84" s="468"/>
      <c r="O84" s="468"/>
      <c r="P84" s="468"/>
      <c r="Q84" s="468"/>
      <c r="R84" s="468"/>
      <c r="S84" s="468"/>
      <c r="T84" s="462">
        <f t="shared" si="164"/>
        <v>0</v>
      </c>
      <c r="U84" s="463">
        <f t="shared" si="165"/>
        <v>0</v>
      </c>
      <c r="V84" s="343">
        <v>56</v>
      </c>
      <c r="W84" s="468"/>
      <c r="X84" s="468"/>
      <c r="Y84" s="468"/>
      <c r="Z84" s="468"/>
      <c r="AA84" s="468"/>
      <c r="AB84" s="468"/>
      <c r="AC84" s="468"/>
      <c r="AD84" s="468"/>
      <c r="AE84" s="460">
        <f t="shared" si="166"/>
        <v>0</v>
      </c>
      <c r="AF84" s="469"/>
      <c r="AG84" s="468"/>
      <c r="AH84" s="468"/>
      <c r="AI84" s="468"/>
      <c r="AJ84" s="468"/>
      <c r="AK84" s="468"/>
      <c r="AL84" s="468"/>
      <c r="AM84" s="468"/>
      <c r="AN84" s="462">
        <f t="shared" si="167"/>
        <v>0</v>
      </c>
      <c r="AO84" s="463">
        <f t="shared" si="168"/>
        <v>0</v>
      </c>
      <c r="AP84" s="343">
        <v>56</v>
      </c>
      <c r="AQ84" s="468"/>
      <c r="AR84" s="468"/>
      <c r="AS84" s="468"/>
      <c r="AT84" s="468"/>
      <c r="AU84" s="468"/>
      <c r="AV84" s="468"/>
      <c r="AW84" s="468"/>
      <c r="AX84" s="468"/>
      <c r="AY84" s="460">
        <f t="shared" si="169"/>
        <v>0</v>
      </c>
      <c r="AZ84" s="469"/>
      <c r="BA84" s="468"/>
      <c r="BB84" s="468"/>
      <c r="BC84" s="468"/>
      <c r="BD84" s="468"/>
      <c r="BE84" s="468"/>
      <c r="BF84" s="468"/>
      <c r="BG84" s="468"/>
      <c r="BH84" s="462">
        <f t="shared" si="170"/>
        <v>0</v>
      </c>
      <c r="BI84" s="463">
        <f t="shared" si="171"/>
        <v>0</v>
      </c>
      <c r="BJ84" s="343">
        <v>56</v>
      </c>
      <c r="BK84" s="468"/>
      <c r="BL84" s="468"/>
      <c r="BM84" s="468"/>
      <c r="BN84" s="468"/>
      <c r="BO84" s="468"/>
      <c r="BP84" s="468"/>
      <c r="BQ84" s="468"/>
      <c r="BR84" s="468"/>
      <c r="BS84" s="460">
        <f t="shared" si="172"/>
        <v>0</v>
      </c>
      <c r="BT84" s="469"/>
      <c r="BU84" s="468"/>
      <c r="BV84" s="468"/>
      <c r="BW84" s="468"/>
      <c r="BX84" s="468"/>
      <c r="BY84" s="468"/>
      <c r="BZ84" s="468"/>
      <c r="CA84" s="468"/>
      <c r="CB84" s="462">
        <f t="shared" si="173"/>
        <v>0</v>
      </c>
      <c r="CC84" s="463">
        <f t="shared" si="174"/>
        <v>0</v>
      </c>
      <c r="CD84" s="343">
        <v>56</v>
      </c>
      <c r="CE84" s="462">
        <f t="shared" si="175"/>
        <v>0</v>
      </c>
      <c r="CF84" s="462">
        <f t="shared" si="176"/>
        <v>0</v>
      </c>
      <c r="CG84" s="462">
        <f t="shared" si="177"/>
        <v>0</v>
      </c>
      <c r="CH84" s="462">
        <f t="shared" si="178"/>
        <v>0</v>
      </c>
      <c r="CI84" s="464">
        <f t="shared" si="179"/>
        <v>0</v>
      </c>
      <c r="CJ84" s="462">
        <f t="shared" si="180"/>
        <v>0</v>
      </c>
      <c r="CK84" s="462">
        <f t="shared" si="181"/>
        <v>0</v>
      </c>
      <c r="CL84" s="462">
        <f t="shared" si="182"/>
        <v>0</v>
      </c>
      <c r="CM84" s="462">
        <f t="shared" si="183"/>
        <v>0</v>
      </c>
      <c r="CN84" s="464">
        <f t="shared" si="184"/>
        <v>0</v>
      </c>
      <c r="CO84" s="462">
        <f t="shared" si="185"/>
        <v>0</v>
      </c>
      <c r="CP84" s="462">
        <f t="shared" si="186"/>
        <v>0</v>
      </c>
      <c r="CQ84" s="462">
        <f t="shared" si="187"/>
        <v>0</v>
      </c>
      <c r="CR84" s="462">
        <f t="shared" si="188"/>
        <v>0</v>
      </c>
      <c r="CS84" s="464">
        <f t="shared" si="189"/>
        <v>0</v>
      </c>
    </row>
    <row r="85" spans="1:131" ht="15.75" customHeight="1" x14ac:dyDescent="0.25">
      <c r="A85" s="94" t="s">
        <v>335</v>
      </c>
      <c r="B85" s="343">
        <v>57</v>
      </c>
      <c r="C85" s="468"/>
      <c r="D85" s="468"/>
      <c r="E85" s="468"/>
      <c r="F85" s="468"/>
      <c r="G85" s="468"/>
      <c r="H85" s="468"/>
      <c r="I85" s="468"/>
      <c r="J85" s="468"/>
      <c r="K85" s="460">
        <f t="shared" si="163"/>
        <v>0</v>
      </c>
      <c r="L85" s="469"/>
      <c r="M85" s="468"/>
      <c r="N85" s="468"/>
      <c r="O85" s="468"/>
      <c r="P85" s="468"/>
      <c r="Q85" s="468"/>
      <c r="R85" s="468"/>
      <c r="S85" s="468"/>
      <c r="T85" s="462">
        <f t="shared" si="164"/>
        <v>0</v>
      </c>
      <c r="U85" s="463">
        <f t="shared" si="165"/>
        <v>0</v>
      </c>
      <c r="V85" s="343">
        <v>57</v>
      </c>
      <c r="W85" s="468"/>
      <c r="X85" s="468"/>
      <c r="Y85" s="468"/>
      <c r="Z85" s="468"/>
      <c r="AA85" s="468"/>
      <c r="AB85" s="468"/>
      <c r="AC85" s="468"/>
      <c r="AD85" s="468"/>
      <c r="AE85" s="460">
        <f t="shared" si="166"/>
        <v>0</v>
      </c>
      <c r="AF85" s="469"/>
      <c r="AG85" s="468"/>
      <c r="AH85" s="468"/>
      <c r="AI85" s="468"/>
      <c r="AJ85" s="468"/>
      <c r="AK85" s="468"/>
      <c r="AL85" s="468"/>
      <c r="AM85" s="468"/>
      <c r="AN85" s="462">
        <f t="shared" si="167"/>
        <v>0</v>
      </c>
      <c r="AO85" s="463">
        <f t="shared" si="168"/>
        <v>0</v>
      </c>
      <c r="AP85" s="343">
        <v>57</v>
      </c>
      <c r="AQ85" s="468"/>
      <c r="AR85" s="468"/>
      <c r="AS85" s="468"/>
      <c r="AT85" s="468"/>
      <c r="AU85" s="468"/>
      <c r="AV85" s="468"/>
      <c r="AW85" s="468"/>
      <c r="AX85" s="468"/>
      <c r="AY85" s="460">
        <f t="shared" si="169"/>
        <v>0</v>
      </c>
      <c r="AZ85" s="469"/>
      <c r="BA85" s="468"/>
      <c r="BB85" s="468"/>
      <c r="BC85" s="468"/>
      <c r="BD85" s="468"/>
      <c r="BE85" s="468"/>
      <c r="BF85" s="468"/>
      <c r="BG85" s="468"/>
      <c r="BH85" s="462">
        <f t="shared" si="170"/>
        <v>0</v>
      </c>
      <c r="BI85" s="463">
        <f t="shared" si="171"/>
        <v>0</v>
      </c>
      <c r="BJ85" s="343">
        <v>57</v>
      </c>
      <c r="BK85" s="468"/>
      <c r="BL85" s="468"/>
      <c r="BM85" s="468"/>
      <c r="BN85" s="468"/>
      <c r="BO85" s="468"/>
      <c r="BP85" s="468"/>
      <c r="BQ85" s="468"/>
      <c r="BR85" s="468"/>
      <c r="BS85" s="460">
        <f t="shared" si="172"/>
        <v>0</v>
      </c>
      <c r="BT85" s="469"/>
      <c r="BU85" s="468"/>
      <c r="BV85" s="468"/>
      <c r="BW85" s="468"/>
      <c r="BX85" s="468"/>
      <c r="BY85" s="468"/>
      <c r="BZ85" s="468"/>
      <c r="CA85" s="468"/>
      <c r="CB85" s="462">
        <f t="shared" si="173"/>
        <v>0</v>
      </c>
      <c r="CC85" s="463">
        <f t="shared" si="174"/>
        <v>0</v>
      </c>
      <c r="CD85" s="343">
        <v>57</v>
      </c>
      <c r="CE85" s="462">
        <f t="shared" si="175"/>
        <v>0</v>
      </c>
      <c r="CF85" s="462">
        <f t="shared" si="176"/>
        <v>0</v>
      </c>
      <c r="CG85" s="462">
        <f t="shared" si="177"/>
        <v>0</v>
      </c>
      <c r="CH85" s="462">
        <f t="shared" si="178"/>
        <v>0</v>
      </c>
      <c r="CI85" s="464">
        <f t="shared" si="179"/>
        <v>0</v>
      </c>
      <c r="CJ85" s="462">
        <f t="shared" si="180"/>
        <v>0</v>
      </c>
      <c r="CK85" s="462">
        <f t="shared" si="181"/>
        <v>0</v>
      </c>
      <c r="CL85" s="462">
        <f t="shared" si="182"/>
        <v>0</v>
      </c>
      <c r="CM85" s="462">
        <f t="shared" si="183"/>
        <v>0</v>
      </c>
      <c r="CN85" s="464">
        <f t="shared" si="184"/>
        <v>0</v>
      </c>
      <c r="CO85" s="462">
        <f t="shared" si="185"/>
        <v>0</v>
      </c>
      <c r="CP85" s="462">
        <f t="shared" si="186"/>
        <v>0</v>
      </c>
      <c r="CQ85" s="462">
        <f t="shared" si="187"/>
        <v>0</v>
      </c>
      <c r="CR85" s="462">
        <f t="shared" si="188"/>
        <v>0</v>
      </c>
      <c r="CS85" s="464">
        <f t="shared" si="189"/>
        <v>0</v>
      </c>
    </row>
    <row r="86" spans="1:131" ht="15.75" customHeight="1" x14ac:dyDescent="0.25">
      <c r="A86" s="94" t="s">
        <v>337</v>
      </c>
      <c r="B86" s="343">
        <v>58</v>
      </c>
      <c r="C86" s="468">
        <v>2356.5130199705509</v>
      </c>
      <c r="D86" s="468">
        <v>8196.3889078087686</v>
      </c>
      <c r="E86" s="468">
        <v>1335.8467209463649</v>
      </c>
      <c r="F86" s="468">
        <v>5264.050938085883</v>
      </c>
      <c r="G86" s="468">
        <v>1501.8436027612343</v>
      </c>
      <c r="H86" s="468">
        <v>6402.6059624098853</v>
      </c>
      <c r="I86" s="468">
        <v>1652.217147629332</v>
      </c>
      <c r="J86" s="468">
        <v>6601.5484513816964</v>
      </c>
      <c r="K86" s="460">
        <f t="shared" si="163"/>
        <v>33311.014750993716</v>
      </c>
      <c r="L86" s="469">
        <v>0</v>
      </c>
      <c r="M86" s="468">
        <v>22830.913810705435</v>
      </c>
      <c r="N86" s="468">
        <v>0</v>
      </c>
      <c r="O86" s="468">
        <v>14081.204697222907</v>
      </c>
      <c r="P86" s="468">
        <v>0</v>
      </c>
      <c r="Q86" s="468">
        <v>15846.238228123293</v>
      </c>
      <c r="R86" s="468">
        <v>0</v>
      </c>
      <c r="S86" s="468">
        <v>16035.360589329235</v>
      </c>
      <c r="T86" s="462">
        <f t="shared" si="164"/>
        <v>68793.717325380872</v>
      </c>
      <c r="U86" s="463">
        <f t="shared" si="165"/>
        <v>102104.73207637458</v>
      </c>
      <c r="V86" s="343">
        <v>58</v>
      </c>
      <c r="W86" s="468">
        <v>607.05031682921992</v>
      </c>
      <c r="X86" s="468">
        <v>5545.971635194066</v>
      </c>
      <c r="Y86" s="468">
        <v>287.74604021628255</v>
      </c>
      <c r="Z86" s="468">
        <v>3001.6925594482432</v>
      </c>
      <c r="AA86" s="468">
        <v>736.87149181260827</v>
      </c>
      <c r="AB86" s="468">
        <v>2779.0328078586422</v>
      </c>
      <c r="AC86" s="468">
        <v>716.19763049341577</v>
      </c>
      <c r="AD86" s="468">
        <v>2823.8391438934887</v>
      </c>
      <c r="AE86" s="460">
        <f t="shared" si="166"/>
        <v>16498.401625745966</v>
      </c>
      <c r="AF86" s="469">
        <v>0</v>
      </c>
      <c r="AG86" s="468">
        <v>9172.410475800265</v>
      </c>
      <c r="AH86" s="468">
        <v>0</v>
      </c>
      <c r="AI86" s="468">
        <v>4552.9071057250885</v>
      </c>
      <c r="AJ86" s="468">
        <v>0</v>
      </c>
      <c r="AK86" s="468">
        <v>3953.7618249448856</v>
      </c>
      <c r="AL86" s="468">
        <v>0</v>
      </c>
      <c r="AM86" s="468">
        <v>4070.5681054227753</v>
      </c>
      <c r="AN86" s="462">
        <f t="shared" si="167"/>
        <v>21749.647511893014</v>
      </c>
      <c r="AO86" s="463">
        <f t="shared" si="168"/>
        <v>38248.049137638984</v>
      </c>
      <c r="AP86" s="343">
        <v>58</v>
      </c>
      <c r="AQ86" s="468">
        <v>70078.985677584264</v>
      </c>
      <c r="AR86" s="468">
        <v>149971.42623237471</v>
      </c>
      <c r="AS86" s="468">
        <v>45028.121921218531</v>
      </c>
      <c r="AT86" s="468">
        <v>95119.558016403811</v>
      </c>
      <c r="AU86" s="468">
        <v>51380.370351550257</v>
      </c>
      <c r="AV86" s="468">
        <v>114280.48991264305</v>
      </c>
      <c r="AW86" s="468">
        <v>54229.435325328079</v>
      </c>
      <c r="AX86" s="468">
        <v>122205.09171873701</v>
      </c>
      <c r="AY86" s="460">
        <f t="shared" si="169"/>
        <v>702293.47915583977</v>
      </c>
      <c r="AZ86" s="469">
        <v>0</v>
      </c>
      <c r="BA86" s="468">
        <v>135445.86504714098</v>
      </c>
      <c r="BB86" s="468">
        <v>0</v>
      </c>
      <c r="BC86" s="468">
        <v>70886.206848917005</v>
      </c>
      <c r="BD86" s="468">
        <v>0</v>
      </c>
      <c r="BE86" s="468">
        <v>88652.963003524637</v>
      </c>
      <c r="BF86" s="468">
        <v>0</v>
      </c>
      <c r="BG86" s="468">
        <v>90002.308086008547</v>
      </c>
      <c r="BH86" s="462">
        <f t="shared" si="170"/>
        <v>384987.34298559115</v>
      </c>
      <c r="BI86" s="463">
        <f t="shared" si="171"/>
        <v>1087280.8221414308</v>
      </c>
      <c r="BJ86" s="343">
        <v>58</v>
      </c>
      <c r="BK86" s="468">
        <v>2876.0083440533353</v>
      </c>
      <c r="BL86" s="468">
        <v>22997.264045703017</v>
      </c>
      <c r="BM86" s="468">
        <v>1709.2144559395826</v>
      </c>
      <c r="BN86" s="468">
        <v>10388.284095261068</v>
      </c>
      <c r="BO86" s="468">
        <v>1620.1908765170599</v>
      </c>
      <c r="BP86" s="468">
        <v>10350.83352908051</v>
      </c>
      <c r="BQ86" s="468">
        <v>1188.4786599100257</v>
      </c>
      <c r="BR86" s="468">
        <v>7990.1293544687333</v>
      </c>
      <c r="BS86" s="460">
        <f t="shared" si="172"/>
        <v>59120.403360933335</v>
      </c>
      <c r="BT86" s="469">
        <v>0</v>
      </c>
      <c r="BU86" s="468">
        <v>10141.737158185639</v>
      </c>
      <c r="BV86" s="468">
        <v>0</v>
      </c>
      <c r="BW86" s="468">
        <v>4994.0480422021074</v>
      </c>
      <c r="BX86" s="468">
        <v>0</v>
      </c>
      <c r="BY86" s="468">
        <v>4315.9600290210892</v>
      </c>
      <c r="BZ86" s="468">
        <v>0</v>
      </c>
      <c r="CA86" s="468">
        <v>3833.4652178636652</v>
      </c>
      <c r="CB86" s="462">
        <f t="shared" si="173"/>
        <v>23285.2104472725</v>
      </c>
      <c r="CC86" s="463">
        <f t="shared" si="174"/>
        <v>82405.613808205831</v>
      </c>
      <c r="CD86" s="343">
        <v>58</v>
      </c>
      <c r="CE86" s="462">
        <f t="shared" si="175"/>
        <v>262629.60817951791</v>
      </c>
      <c r="CF86" s="462">
        <f t="shared" si="176"/>
        <v>162134.5147475198</v>
      </c>
      <c r="CG86" s="462">
        <f t="shared" si="177"/>
        <v>189052.23853463324</v>
      </c>
      <c r="CH86" s="462">
        <f t="shared" si="178"/>
        <v>197406.93743184177</v>
      </c>
      <c r="CI86" s="464">
        <f t="shared" si="179"/>
        <v>811223.29889351269</v>
      </c>
      <c r="CJ86" s="462">
        <f t="shared" si="180"/>
        <v>177590.9264918323</v>
      </c>
      <c r="CK86" s="462">
        <f t="shared" si="181"/>
        <v>94514.36669406711</v>
      </c>
      <c r="CL86" s="462">
        <f t="shared" si="182"/>
        <v>112768.92308561392</v>
      </c>
      <c r="CM86" s="462">
        <f t="shared" si="183"/>
        <v>113941.70199862421</v>
      </c>
      <c r="CN86" s="464">
        <f t="shared" si="184"/>
        <v>498815.91827013757</v>
      </c>
      <c r="CO86" s="462">
        <f t="shared" si="185"/>
        <v>440220.53467135027</v>
      </c>
      <c r="CP86" s="462">
        <f t="shared" si="186"/>
        <v>256648.88144158688</v>
      </c>
      <c r="CQ86" s="462">
        <f t="shared" si="187"/>
        <v>301821.16162024712</v>
      </c>
      <c r="CR86" s="462">
        <f t="shared" si="188"/>
        <v>311348.63943046599</v>
      </c>
      <c r="CS86" s="464">
        <f t="shared" si="189"/>
        <v>1310039.2171636501</v>
      </c>
    </row>
    <row r="87" spans="1:131" ht="15.75" customHeight="1" x14ac:dyDescent="0.25">
      <c r="B87" s="343"/>
      <c r="C87" s="207" t="s">
        <v>32</v>
      </c>
      <c r="D87" s="207" t="s">
        <v>32</v>
      </c>
      <c r="E87" s="207" t="s">
        <v>32</v>
      </c>
      <c r="F87" s="207" t="s">
        <v>32</v>
      </c>
      <c r="G87" s="207" t="s">
        <v>32</v>
      </c>
      <c r="H87" s="207" t="s">
        <v>32</v>
      </c>
      <c r="I87" s="207" t="s">
        <v>32</v>
      </c>
      <c r="J87" s="207" t="s">
        <v>32</v>
      </c>
      <c r="K87" s="426"/>
      <c r="L87" s="427" t="s">
        <v>32</v>
      </c>
      <c r="M87" s="207" t="s">
        <v>32</v>
      </c>
      <c r="N87" s="207" t="s">
        <v>32</v>
      </c>
      <c r="O87" s="207" t="s">
        <v>32</v>
      </c>
      <c r="P87" s="207" t="s">
        <v>32</v>
      </c>
      <c r="Q87" s="207" t="s">
        <v>32</v>
      </c>
      <c r="R87" s="207" t="s">
        <v>32</v>
      </c>
      <c r="S87" s="207" t="s">
        <v>32</v>
      </c>
      <c r="T87" s="428" t="s">
        <v>32</v>
      </c>
      <c r="U87" s="427" t="s">
        <v>32</v>
      </c>
      <c r="V87" s="343"/>
      <c r="W87" s="207" t="s">
        <v>32</v>
      </c>
      <c r="X87" s="207" t="s">
        <v>32</v>
      </c>
      <c r="Y87" s="207" t="s">
        <v>32</v>
      </c>
      <c r="Z87" s="207" t="s">
        <v>32</v>
      </c>
      <c r="AA87" s="207" t="s">
        <v>32</v>
      </c>
      <c r="AB87" s="207" t="s">
        <v>32</v>
      </c>
      <c r="AC87" s="207" t="s">
        <v>32</v>
      </c>
      <c r="AD87" s="207" t="s">
        <v>32</v>
      </c>
      <c r="AE87" s="426"/>
      <c r="AF87" s="427" t="s">
        <v>32</v>
      </c>
      <c r="AG87" s="207" t="s">
        <v>32</v>
      </c>
      <c r="AH87" s="207" t="s">
        <v>32</v>
      </c>
      <c r="AI87" s="207" t="s">
        <v>32</v>
      </c>
      <c r="AJ87" s="207" t="s">
        <v>32</v>
      </c>
      <c r="AK87" s="207" t="s">
        <v>32</v>
      </c>
      <c r="AL87" s="207" t="s">
        <v>32</v>
      </c>
      <c r="AM87" s="207" t="s">
        <v>32</v>
      </c>
      <c r="AN87" s="428" t="s">
        <v>32</v>
      </c>
      <c r="AO87" s="427" t="s">
        <v>32</v>
      </c>
      <c r="AP87" s="343"/>
      <c r="AQ87" s="207" t="s">
        <v>32</v>
      </c>
      <c r="AR87" s="207" t="s">
        <v>32</v>
      </c>
      <c r="AS87" s="207" t="s">
        <v>32</v>
      </c>
      <c r="AT87" s="207" t="s">
        <v>32</v>
      </c>
      <c r="AU87" s="207" t="s">
        <v>32</v>
      </c>
      <c r="AV87" s="207" t="s">
        <v>32</v>
      </c>
      <c r="AW87" s="207" t="s">
        <v>32</v>
      </c>
      <c r="AX87" s="207" t="s">
        <v>32</v>
      </c>
      <c r="AY87" s="426"/>
      <c r="AZ87" s="427" t="s">
        <v>32</v>
      </c>
      <c r="BA87" s="207" t="s">
        <v>32</v>
      </c>
      <c r="BB87" s="207" t="s">
        <v>32</v>
      </c>
      <c r="BC87" s="207" t="s">
        <v>32</v>
      </c>
      <c r="BD87" s="207" t="s">
        <v>32</v>
      </c>
      <c r="BE87" s="207" t="s">
        <v>32</v>
      </c>
      <c r="BF87" s="207" t="s">
        <v>32</v>
      </c>
      <c r="BG87" s="207" t="s">
        <v>32</v>
      </c>
      <c r="BH87" s="428" t="s">
        <v>32</v>
      </c>
      <c r="BI87" s="427" t="s">
        <v>32</v>
      </c>
      <c r="BJ87" s="343"/>
      <c r="BK87" s="207" t="s">
        <v>32</v>
      </c>
      <c r="BL87" s="207" t="s">
        <v>32</v>
      </c>
      <c r="BM87" s="207" t="s">
        <v>32</v>
      </c>
      <c r="BN87" s="207" t="s">
        <v>32</v>
      </c>
      <c r="BO87" s="207" t="s">
        <v>32</v>
      </c>
      <c r="BP87" s="207" t="s">
        <v>32</v>
      </c>
      <c r="BQ87" s="207" t="s">
        <v>32</v>
      </c>
      <c r="BR87" s="207" t="s">
        <v>32</v>
      </c>
      <c r="BS87" s="426"/>
      <c r="BT87" s="427" t="s">
        <v>32</v>
      </c>
      <c r="BU87" s="207" t="s">
        <v>32</v>
      </c>
      <c r="BV87" s="207" t="s">
        <v>32</v>
      </c>
      <c r="BW87" s="207" t="s">
        <v>32</v>
      </c>
      <c r="BX87" s="207" t="s">
        <v>32</v>
      </c>
      <c r="BY87" s="207" t="s">
        <v>32</v>
      </c>
      <c r="BZ87" s="207" t="s">
        <v>32</v>
      </c>
      <c r="CA87" s="207" t="s">
        <v>32</v>
      </c>
      <c r="CB87" s="428" t="s">
        <v>32</v>
      </c>
      <c r="CC87" s="427" t="s">
        <v>32</v>
      </c>
      <c r="CD87" s="343"/>
      <c r="CE87" s="428" t="s">
        <v>32</v>
      </c>
      <c r="CF87" s="428"/>
      <c r="CG87" s="428"/>
      <c r="CH87" s="428"/>
      <c r="CI87" s="207"/>
      <c r="CJ87" s="428" t="s">
        <v>32</v>
      </c>
      <c r="CK87" s="428"/>
      <c r="CL87" s="428"/>
      <c r="CM87" s="428"/>
      <c r="CN87" s="207"/>
      <c r="CO87" s="428" t="s">
        <v>32</v>
      </c>
      <c r="CP87" s="428"/>
      <c r="CQ87" s="428"/>
      <c r="CR87" s="428"/>
      <c r="CS87" s="207"/>
    </row>
    <row r="88" spans="1:131" s="17" customFormat="1" ht="15.75" customHeight="1" x14ac:dyDescent="0.25">
      <c r="A88" s="19" t="s">
        <v>423</v>
      </c>
      <c r="B88" s="343">
        <v>59</v>
      </c>
      <c r="C88" s="236">
        <f t="shared" ref="C88:U88" si="190">SUM(C76:C86)</f>
        <v>4365.1387853994293</v>
      </c>
      <c r="D88" s="236">
        <f t="shared" si="190"/>
        <v>15182.761486351068</v>
      </c>
      <c r="E88" s="236">
        <f t="shared" si="190"/>
        <v>4696.8454661734304</v>
      </c>
      <c r="F88" s="236">
        <f t="shared" si="190"/>
        <v>18508.436181015542</v>
      </c>
      <c r="G88" s="236">
        <f t="shared" si="190"/>
        <v>4849.6060722278808</v>
      </c>
      <c r="H88" s="236">
        <f t="shared" si="190"/>
        <v>20674.667253166583</v>
      </c>
      <c r="I88" s="236">
        <f t="shared" si="190"/>
        <v>5606.8828855648935</v>
      </c>
      <c r="J88" s="236">
        <f t="shared" si="190"/>
        <v>22402.690277963044</v>
      </c>
      <c r="K88" s="241">
        <f t="shared" si="190"/>
        <v>96287.028407861857</v>
      </c>
      <c r="L88" s="238">
        <f t="shared" si="190"/>
        <v>0</v>
      </c>
      <c r="M88" s="236">
        <f t="shared" si="190"/>
        <v>42291.345957624806</v>
      </c>
      <c r="N88" s="236">
        <f t="shared" si="190"/>
        <v>0</v>
      </c>
      <c r="O88" s="236">
        <f t="shared" si="190"/>
        <v>49509.604210846337</v>
      </c>
      <c r="P88" s="236">
        <f t="shared" si="190"/>
        <v>0</v>
      </c>
      <c r="Q88" s="236">
        <f t="shared" si="190"/>
        <v>51169.118403398577</v>
      </c>
      <c r="R88" s="236">
        <f t="shared" si="190"/>
        <v>0</v>
      </c>
      <c r="S88" s="236">
        <f t="shared" si="190"/>
        <v>54416.811362341854</v>
      </c>
      <c r="T88" s="239">
        <f t="shared" si="190"/>
        <v>197386.87993421155</v>
      </c>
      <c r="U88" s="240">
        <f t="shared" si="190"/>
        <v>293673.90834207344</v>
      </c>
      <c r="V88" s="343">
        <v>59</v>
      </c>
      <c r="W88" s="236">
        <f t="shared" ref="W88:AO88" si="191">SUM(W76:W86)</f>
        <v>1124.4830222552112</v>
      </c>
      <c r="X88" s="236">
        <f t="shared" si="191"/>
        <v>10273.202686490249</v>
      </c>
      <c r="Y88" s="236">
        <f t="shared" si="191"/>
        <v>1011.716885782937</v>
      </c>
      <c r="Z88" s="236">
        <f t="shared" si="191"/>
        <v>10553.969903600238</v>
      </c>
      <c r="AA88" s="236">
        <f t="shared" si="191"/>
        <v>2379.4331544082684</v>
      </c>
      <c r="AB88" s="236">
        <f t="shared" si="191"/>
        <v>8973.7801959758381</v>
      </c>
      <c r="AC88" s="236">
        <f t="shared" si="191"/>
        <v>2430.4530689912399</v>
      </c>
      <c r="AD88" s="236">
        <f t="shared" si="191"/>
        <v>9582.8416925719248</v>
      </c>
      <c r="AE88" s="241">
        <f t="shared" si="191"/>
        <v>46329.880610075903</v>
      </c>
      <c r="AF88" s="238">
        <f t="shared" si="191"/>
        <v>0</v>
      </c>
      <c r="AG88" s="236">
        <f t="shared" si="191"/>
        <v>16990.716530825761</v>
      </c>
      <c r="AH88" s="236">
        <f t="shared" si="191"/>
        <v>0</v>
      </c>
      <c r="AI88" s="236">
        <f t="shared" si="191"/>
        <v>16008.049997146543</v>
      </c>
      <c r="AJ88" s="236">
        <f t="shared" si="191"/>
        <v>0</v>
      </c>
      <c r="AK88" s="236">
        <f t="shared" si="191"/>
        <v>12767.099929142123</v>
      </c>
      <c r="AL88" s="236">
        <f t="shared" si="191"/>
        <v>0</v>
      </c>
      <c r="AM88" s="236">
        <f t="shared" si="191"/>
        <v>13813.679804479043</v>
      </c>
      <c r="AN88" s="239">
        <f t="shared" si="191"/>
        <v>59579.546261593467</v>
      </c>
      <c r="AO88" s="240">
        <f t="shared" si="191"/>
        <v>105909.42687166938</v>
      </c>
      <c r="AP88" s="343">
        <v>59</v>
      </c>
      <c r="AQ88" s="236">
        <f t="shared" ref="AQ88:BI88" si="192">SUM(AQ76:AQ86)</f>
        <v>129812.35233170789</v>
      </c>
      <c r="AR88" s="236">
        <f t="shared" si="192"/>
        <v>277802.87390764739</v>
      </c>
      <c r="AS88" s="236">
        <f t="shared" si="192"/>
        <v>158319.15966088686</v>
      </c>
      <c r="AT88" s="236">
        <f t="shared" si="192"/>
        <v>334440.96377858653</v>
      </c>
      <c r="AU88" s="236">
        <f t="shared" si="192"/>
        <v>165912.45292923466</v>
      </c>
      <c r="AV88" s="236">
        <f t="shared" si="192"/>
        <v>369023.35023338709</v>
      </c>
      <c r="AW88" s="236">
        <f t="shared" si="192"/>
        <v>184030.34568168304</v>
      </c>
      <c r="AX88" s="236">
        <f t="shared" si="192"/>
        <v>414709.19138553459</v>
      </c>
      <c r="AY88" s="241">
        <f t="shared" si="192"/>
        <v>2034050.6899086679</v>
      </c>
      <c r="AZ88" s="238">
        <f t="shared" si="192"/>
        <v>0</v>
      </c>
      <c r="BA88" s="236">
        <f t="shared" si="192"/>
        <v>250896.13077828047</v>
      </c>
      <c r="BB88" s="236">
        <f t="shared" si="192"/>
        <v>0</v>
      </c>
      <c r="BC88" s="236">
        <f t="shared" si="192"/>
        <v>249236.34877562843</v>
      </c>
      <c r="BD88" s="236">
        <f t="shared" si="192"/>
        <v>0</v>
      </c>
      <c r="BE88" s="236">
        <f t="shared" si="192"/>
        <v>286269.45369839424</v>
      </c>
      <c r="BF88" s="236">
        <f t="shared" si="192"/>
        <v>0</v>
      </c>
      <c r="BG88" s="236">
        <f t="shared" si="192"/>
        <v>305427.40800919977</v>
      </c>
      <c r="BH88" s="239">
        <f t="shared" si="192"/>
        <v>1091829.3412615028</v>
      </c>
      <c r="BI88" s="240">
        <f t="shared" si="192"/>
        <v>3125880.0311701708</v>
      </c>
      <c r="BJ88" s="343">
        <v>59</v>
      </c>
      <c r="BK88" s="236">
        <f t="shared" ref="BK88:CC88" si="193">SUM(BK76:BK86)</f>
        <v>5327.4373887891734</v>
      </c>
      <c r="BL88" s="236">
        <f t="shared" si="193"/>
        <v>42599.488478627012</v>
      </c>
      <c r="BM88" s="236">
        <f t="shared" si="193"/>
        <v>6009.608768894258</v>
      </c>
      <c r="BN88" s="236">
        <f t="shared" si="193"/>
        <v>36525.272165643575</v>
      </c>
      <c r="BO88" s="236">
        <f t="shared" si="193"/>
        <v>5231.7614820073322</v>
      </c>
      <c r="BP88" s="236">
        <f t="shared" si="193"/>
        <v>33423.896498248934</v>
      </c>
      <c r="BQ88" s="236">
        <f t="shared" si="193"/>
        <v>4033.1627520449797</v>
      </c>
      <c r="BR88" s="236">
        <f t="shared" si="193"/>
        <v>27114.91016498701</v>
      </c>
      <c r="BS88" s="241">
        <f t="shared" si="193"/>
        <v>160265.53769924227</v>
      </c>
      <c r="BT88" s="238">
        <f t="shared" si="193"/>
        <v>0</v>
      </c>
      <c r="BU88" s="236">
        <f t="shared" si="193"/>
        <v>18786.270156519633</v>
      </c>
      <c r="BV88" s="236">
        <f t="shared" si="193"/>
        <v>0</v>
      </c>
      <c r="BW88" s="236">
        <f t="shared" si="193"/>
        <v>17559.10430221511</v>
      </c>
      <c r="BX88" s="236">
        <f t="shared" si="193"/>
        <v>0</v>
      </c>
      <c r="BY88" s="236">
        <f t="shared" si="193"/>
        <v>13936.674848000865</v>
      </c>
      <c r="BZ88" s="236">
        <f t="shared" si="193"/>
        <v>0</v>
      </c>
      <c r="CA88" s="236">
        <f t="shared" si="193"/>
        <v>13009.059101758048</v>
      </c>
      <c r="CB88" s="239">
        <f t="shared" si="193"/>
        <v>63291.108408493659</v>
      </c>
      <c r="CC88" s="240">
        <f t="shared" si="193"/>
        <v>223556.64610773593</v>
      </c>
      <c r="CD88" s="343">
        <v>59</v>
      </c>
      <c r="CE88" s="239">
        <f t="shared" ref="CE88:CH88" si="194">SUM(CE76:CE86)</f>
        <v>486487.73808726738</v>
      </c>
      <c r="CF88" s="239">
        <f t="shared" si="194"/>
        <v>570065.97281058342</v>
      </c>
      <c r="CG88" s="239">
        <f t="shared" si="194"/>
        <v>610468.94781865657</v>
      </c>
      <c r="CH88" s="239">
        <f t="shared" si="194"/>
        <v>669910.47790934076</v>
      </c>
      <c r="CI88" s="236">
        <f>SUM(CI76:CI86)</f>
        <v>2336933.1366258478</v>
      </c>
      <c r="CJ88" s="239">
        <f t="shared" ref="CJ88:CM88" si="195">SUM(CJ76:CJ86)</f>
        <v>328964.46342325065</v>
      </c>
      <c r="CK88" s="239">
        <f t="shared" si="195"/>
        <v>332313.10728583636</v>
      </c>
      <c r="CL88" s="239">
        <f t="shared" si="195"/>
        <v>364142.34687893582</v>
      </c>
      <c r="CM88" s="239">
        <f t="shared" si="195"/>
        <v>386666.95827777864</v>
      </c>
      <c r="CN88" s="236">
        <f>SUM(CN76:CN86)</f>
        <v>1412086.8758658017</v>
      </c>
      <c r="CO88" s="239">
        <f t="shared" ref="CO88:CR88" si="196">SUM(CO76:CO86)</f>
        <v>815452.20151051809</v>
      </c>
      <c r="CP88" s="239">
        <f t="shared" si="196"/>
        <v>902379.08009641967</v>
      </c>
      <c r="CQ88" s="239">
        <f t="shared" si="196"/>
        <v>974611.29469759227</v>
      </c>
      <c r="CR88" s="239">
        <f t="shared" si="196"/>
        <v>1056577.4361871195</v>
      </c>
      <c r="CS88" s="236">
        <f>SUM(CS76:CS86)</f>
        <v>3749020.0124916499</v>
      </c>
      <c r="CT88" s="361"/>
      <c r="CU88" s="361"/>
      <c r="CV88" s="361"/>
      <c r="CW88" s="361"/>
      <c r="CX88" s="361"/>
      <c r="CY88" s="361"/>
      <c r="CZ88" s="361"/>
      <c r="DA88" s="361"/>
      <c r="DB88" s="361"/>
      <c r="DC88" s="361"/>
      <c r="DD88" s="361"/>
      <c r="DE88" s="361"/>
      <c r="DF88" s="361"/>
      <c r="DG88" s="361"/>
      <c r="DH88" s="361"/>
      <c r="DI88" s="361"/>
      <c r="DJ88" s="361"/>
      <c r="DK88" s="361"/>
      <c r="DL88" s="361"/>
      <c r="DM88" s="361"/>
      <c r="DN88" s="361"/>
      <c r="DO88" s="361"/>
      <c r="DP88" s="361"/>
      <c r="DQ88" s="361"/>
      <c r="DR88" s="361"/>
      <c r="DS88" s="361"/>
      <c r="DT88" s="361"/>
      <c r="DU88" s="361"/>
      <c r="DV88" s="361"/>
      <c r="DW88" s="361"/>
      <c r="DX88" s="361"/>
      <c r="DY88" s="361"/>
      <c r="DZ88" s="361"/>
      <c r="EA88" s="361"/>
    </row>
    <row r="89" spans="1:131" ht="15.75" customHeight="1" x14ac:dyDescent="0.25">
      <c r="B89" s="343"/>
      <c r="C89" s="207" t="s">
        <v>32</v>
      </c>
      <c r="D89" s="207" t="s">
        <v>32</v>
      </c>
      <c r="E89" s="207" t="s">
        <v>32</v>
      </c>
      <c r="F89" s="207" t="s">
        <v>32</v>
      </c>
      <c r="G89" s="207" t="s">
        <v>32</v>
      </c>
      <c r="H89" s="207" t="s">
        <v>32</v>
      </c>
      <c r="I89" s="207" t="s">
        <v>32</v>
      </c>
      <c r="J89" s="207" t="s">
        <v>32</v>
      </c>
      <c r="K89" s="426"/>
      <c r="L89" s="427" t="s">
        <v>32</v>
      </c>
      <c r="M89" s="207" t="s">
        <v>32</v>
      </c>
      <c r="N89" s="207" t="s">
        <v>32</v>
      </c>
      <c r="O89" s="207" t="s">
        <v>32</v>
      </c>
      <c r="P89" s="207" t="s">
        <v>32</v>
      </c>
      <c r="Q89" s="207" t="s">
        <v>32</v>
      </c>
      <c r="R89" s="207" t="s">
        <v>32</v>
      </c>
      <c r="S89" s="207" t="s">
        <v>32</v>
      </c>
      <c r="T89" s="428" t="s">
        <v>32</v>
      </c>
      <c r="U89" s="470" t="s">
        <v>32</v>
      </c>
      <c r="V89" s="343"/>
      <c r="W89" s="207" t="s">
        <v>32</v>
      </c>
      <c r="X89" s="207" t="s">
        <v>32</v>
      </c>
      <c r="Y89" s="207" t="s">
        <v>32</v>
      </c>
      <c r="Z89" s="207" t="s">
        <v>32</v>
      </c>
      <c r="AA89" s="207" t="s">
        <v>32</v>
      </c>
      <c r="AB89" s="207" t="s">
        <v>32</v>
      </c>
      <c r="AC89" s="207" t="s">
        <v>32</v>
      </c>
      <c r="AD89" s="207" t="s">
        <v>32</v>
      </c>
      <c r="AE89" s="426"/>
      <c r="AF89" s="427" t="s">
        <v>32</v>
      </c>
      <c r="AG89" s="207" t="s">
        <v>32</v>
      </c>
      <c r="AH89" s="207" t="s">
        <v>32</v>
      </c>
      <c r="AI89" s="207" t="s">
        <v>32</v>
      </c>
      <c r="AJ89" s="207" t="s">
        <v>32</v>
      </c>
      <c r="AK89" s="207" t="s">
        <v>32</v>
      </c>
      <c r="AL89" s="207" t="s">
        <v>32</v>
      </c>
      <c r="AM89" s="207" t="s">
        <v>32</v>
      </c>
      <c r="AN89" s="428" t="s">
        <v>32</v>
      </c>
      <c r="AO89" s="470" t="s">
        <v>32</v>
      </c>
      <c r="AP89" s="343"/>
      <c r="AQ89" s="207" t="s">
        <v>32</v>
      </c>
      <c r="AR89" s="207" t="s">
        <v>32</v>
      </c>
      <c r="AS89" s="207" t="s">
        <v>32</v>
      </c>
      <c r="AT89" s="207" t="s">
        <v>32</v>
      </c>
      <c r="AU89" s="207" t="s">
        <v>32</v>
      </c>
      <c r="AV89" s="207" t="s">
        <v>32</v>
      </c>
      <c r="AW89" s="207" t="s">
        <v>32</v>
      </c>
      <c r="AX89" s="207" t="s">
        <v>32</v>
      </c>
      <c r="AY89" s="426"/>
      <c r="AZ89" s="427" t="s">
        <v>32</v>
      </c>
      <c r="BA89" s="207" t="s">
        <v>32</v>
      </c>
      <c r="BB89" s="207" t="s">
        <v>32</v>
      </c>
      <c r="BC89" s="207" t="s">
        <v>32</v>
      </c>
      <c r="BD89" s="207" t="s">
        <v>32</v>
      </c>
      <c r="BE89" s="207" t="s">
        <v>32</v>
      </c>
      <c r="BF89" s="207" t="s">
        <v>32</v>
      </c>
      <c r="BG89" s="207" t="s">
        <v>32</v>
      </c>
      <c r="BH89" s="428" t="s">
        <v>32</v>
      </c>
      <c r="BI89" s="470" t="s">
        <v>32</v>
      </c>
      <c r="BJ89" s="343"/>
      <c r="BK89" s="207" t="s">
        <v>32</v>
      </c>
      <c r="BL89" s="207" t="s">
        <v>32</v>
      </c>
      <c r="BM89" s="207" t="s">
        <v>32</v>
      </c>
      <c r="BN89" s="207" t="s">
        <v>32</v>
      </c>
      <c r="BO89" s="207" t="s">
        <v>32</v>
      </c>
      <c r="BP89" s="207" t="s">
        <v>32</v>
      </c>
      <c r="BQ89" s="207" t="s">
        <v>32</v>
      </c>
      <c r="BR89" s="207" t="s">
        <v>32</v>
      </c>
      <c r="BS89" s="426"/>
      <c r="BT89" s="427" t="s">
        <v>32</v>
      </c>
      <c r="BU89" s="207" t="s">
        <v>32</v>
      </c>
      <c r="BV89" s="207" t="s">
        <v>32</v>
      </c>
      <c r="BW89" s="207" t="s">
        <v>32</v>
      </c>
      <c r="BX89" s="207" t="s">
        <v>32</v>
      </c>
      <c r="BY89" s="207" t="s">
        <v>32</v>
      </c>
      <c r="BZ89" s="207" t="s">
        <v>32</v>
      </c>
      <c r="CA89" s="207" t="s">
        <v>32</v>
      </c>
      <c r="CB89" s="428" t="s">
        <v>32</v>
      </c>
      <c r="CC89" s="470" t="s">
        <v>32</v>
      </c>
      <c r="CD89" s="343"/>
      <c r="CE89" s="428" t="s">
        <v>32</v>
      </c>
      <c r="CF89" s="428"/>
      <c r="CG89" s="428"/>
      <c r="CH89" s="428"/>
      <c r="CI89" s="207"/>
      <c r="CJ89" s="428" t="s">
        <v>32</v>
      </c>
      <c r="CK89" s="428"/>
      <c r="CL89" s="428"/>
      <c r="CM89" s="428"/>
      <c r="CN89" s="207"/>
      <c r="CO89" s="428" t="s">
        <v>32</v>
      </c>
      <c r="CP89" s="428"/>
      <c r="CQ89" s="428"/>
      <c r="CR89" s="428"/>
      <c r="CS89" s="207"/>
    </row>
    <row r="90" spans="1:131" s="17" customFormat="1" ht="15.75" customHeight="1" x14ac:dyDescent="0.25">
      <c r="A90" s="19" t="s">
        <v>46</v>
      </c>
      <c r="B90" s="343">
        <v>60</v>
      </c>
      <c r="C90" s="236">
        <f t="shared" ref="C90:U90" si="197">C88+C66+C73-C70</f>
        <v>39831.267601209525</v>
      </c>
      <c r="D90" s="236">
        <f t="shared" si="197"/>
        <v>251449.07226931586</v>
      </c>
      <c r="E90" s="236">
        <f t="shared" si="197"/>
        <v>315894.42254739924</v>
      </c>
      <c r="F90" s="236">
        <f t="shared" si="197"/>
        <v>584743.34480312828</v>
      </c>
      <c r="G90" s="236">
        <f t="shared" si="197"/>
        <v>240160.44702031344</v>
      </c>
      <c r="H90" s="236">
        <f t="shared" si="197"/>
        <v>563382.57363043784</v>
      </c>
      <c r="I90" s="236">
        <f t="shared" si="197"/>
        <v>203451.08987380163</v>
      </c>
      <c r="J90" s="236">
        <f t="shared" si="197"/>
        <v>472590.37487048731</v>
      </c>
      <c r="K90" s="241">
        <f t="shared" si="197"/>
        <v>2671502.5926160929</v>
      </c>
      <c r="L90" s="238">
        <f t="shared" si="197"/>
        <v>0</v>
      </c>
      <c r="M90" s="236">
        <f t="shared" si="197"/>
        <v>383163.96420397732</v>
      </c>
      <c r="N90" s="236">
        <f t="shared" si="197"/>
        <v>0</v>
      </c>
      <c r="O90" s="236">
        <f t="shared" si="197"/>
        <v>824581.8428053715</v>
      </c>
      <c r="P90" s="236">
        <f t="shared" si="197"/>
        <v>0</v>
      </c>
      <c r="Q90" s="236">
        <f t="shared" si="197"/>
        <v>889862.78938368941</v>
      </c>
      <c r="R90" s="236">
        <f t="shared" si="197"/>
        <v>0</v>
      </c>
      <c r="S90" s="236">
        <f t="shared" si="197"/>
        <v>870600.42237028421</v>
      </c>
      <c r="T90" s="239">
        <f t="shared" si="197"/>
        <v>2968209.0187633228</v>
      </c>
      <c r="U90" s="240">
        <f t="shared" si="197"/>
        <v>5639711.6113794157</v>
      </c>
      <c r="V90" s="343">
        <v>60</v>
      </c>
      <c r="W90" s="236">
        <f t="shared" ref="W90:AO90" si="198">W88+W66+W73-W70</f>
        <v>7905.5872596473664</v>
      </c>
      <c r="X90" s="236">
        <f t="shared" si="198"/>
        <v>76317.552080853115</v>
      </c>
      <c r="Y90" s="236">
        <f t="shared" si="198"/>
        <v>7909.970548992459</v>
      </c>
      <c r="Z90" s="236">
        <f t="shared" si="198"/>
        <v>49387.942227220934</v>
      </c>
      <c r="AA90" s="236">
        <f t="shared" si="198"/>
        <v>23468.973802024539</v>
      </c>
      <c r="AB90" s="236">
        <f t="shared" si="198"/>
        <v>45997.99575602977</v>
      </c>
      <c r="AC90" s="236">
        <f t="shared" si="198"/>
        <v>9360.4808088358368</v>
      </c>
      <c r="AD90" s="236">
        <f t="shared" si="198"/>
        <v>46661.777712101553</v>
      </c>
      <c r="AE90" s="241">
        <f t="shared" si="198"/>
        <v>267010.28019570559</v>
      </c>
      <c r="AF90" s="238">
        <f t="shared" si="198"/>
        <v>0</v>
      </c>
      <c r="AG90" s="236">
        <f t="shared" si="198"/>
        <v>213320.47697046242</v>
      </c>
      <c r="AH90" s="236">
        <f t="shared" si="198"/>
        <v>0</v>
      </c>
      <c r="AI90" s="236">
        <f t="shared" si="198"/>
        <v>124700.30127715578</v>
      </c>
      <c r="AJ90" s="236">
        <f t="shared" si="198"/>
        <v>0</v>
      </c>
      <c r="AK90" s="236">
        <f t="shared" si="198"/>
        <v>95246.508229250088</v>
      </c>
      <c r="AL90" s="236">
        <f t="shared" si="198"/>
        <v>0</v>
      </c>
      <c r="AM90" s="236">
        <f t="shared" si="198"/>
        <v>103486.67075338267</v>
      </c>
      <c r="AN90" s="239">
        <f t="shared" si="198"/>
        <v>536753.95723025117</v>
      </c>
      <c r="AO90" s="240">
        <f t="shared" si="198"/>
        <v>803764.23742595641</v>
      </c>
      <c r="AP90" s="343">
        <v>60</v>
      </c>
      <c r="AQ90" s="236">
        <f t="shared" ref="AQ90:BI90" si="199">AQ88+AQ66+AQ73-AQ70</f>
        <v>1379160.3014294691</v>
      </c>
      <c r="AR90" s="236">
        <f t="shared" si="199"/>
        <v>3020158.7161767995</v>
      </c>
      <c r="AS90" s="236">
        <f t="shared" si="199"/>
        <v>1257137.4740707797</v>
      </c>
      <c r="AT90" s="236">
        <f t="shared" si="199"/>
        <v>2885428.5865845354</v>
      </c>
      <c r="AU90" s="236">
        <f t="shared" si="199"/>
        <v>1535942.8184304424</v>
      </c>
      <c r="AV90" s="236">
        <f t="shared" si="199"/>
        <v>3187458.8406311274</v>
      </c>
      <c r="AW90" s="236">
        <f t="shared" si="199"/>
        <v>1873133.6777377618</v>
      </c>
      <c r="AX90" s="236">
        <f t="shared" si="199"/>
        <v>3549096.6493622633</v>
      </c>
      <c r="AY90" s="241">
        <f t="shared" si="199"/>
        <v>18687517.064423177</v>
      </c>
      <c r="AZ90" s="238">
        <f t="shared" si="199"/>
        <v>0</v>
      </c>
      <c r="BA90" s="236">
        <f t="shared" si="199"/>
        <v>2734409.7637760225</v>
      </c>
      <c r="BB90" s="236">
        <f t="shared" si="199"/>
        <v>0</v>
      </c>
      <c r="BC90" s="236">
        <f t="shared" si="199"/>
        <v>2629915.0359889381</v>
      </c>
      <c r="BD90" s="236">
        <f t="shared" si="199"/>
        <v>0</v>
      </c>
      <c r="BE90" s="236">
        <f t="shared" si="199"/>
        <v>2969719.22229937</v>
      </c>
      <c r="BF90" s="236">
        <f t="shared" si="199"/>
        <v>0</v>
      </c>
      <c r="BG90" s="236">
        <f t="shared" si="199"/>
        <v>3149999.2738059941</v>
      </c>
      <c r="BH90" s="239">
        <f t="shared" si="199"/>
        <v>11484043.295870325</v>
      </c>
      <c r="BI90" s="240">
        <f t="shared" si="199"/>
        <v>30171560.3602935</v>
      </c>
      <c r="BJ90" s="343">
        <v>60</v>
      </c>
      <c r="BK90" s="236">
        <f t="shared" ref="BK90:CC90" si="200">BK88+BK66+BK73-BK70</f>
        <v>67298.207150627466</v>
      </c>
      <c r="BL90" s="236">
        <f t="shared" si="200"/>
        <v>492477.3301268603</v>
      </c>
      <c r="BM90" s="236">
        <f t="shared" si="200"/>
        <v>61868.181160053347</v>
      </c>
      <c r="BN90" s="236">
        <f t="shared" si="200"/>
        <v>376122.5618778175</v>
      </c>
      <c r="BO90" s="236">
        <f t="shared" si="200"/>
        <v>57632.27175614782</v>
      </c>
      <c r="BP90" s="236">
        <f t="shared" si="200"/>
        <v>402535.77135451703</v>
      </c>
      <c r="BQ90" s="236">
        <f t="shared" si="200"/>
        <v>31686.914184619451</v>
      </c>
      <c r="BR90" s="236">
        <f t="shared" si="200"/>
        <v>357402.64822337095</v>
      </c>
      <c r="BS90" s="241">
        <f t="shared" si="200"/>
        <v>1847023.8858340143</v>
      </c>
      <c r="BT90" s="238">
        <f t="shared" si="200"/>
        <v>0</v>
      </c>
      <c r="BU90" s="236">
        <f t="shared" si="200"/>
        <v>135571.41840542338</v>
      </c>
      <c r="BV90" s="236">
        <f t="shared" si="200"/>
        <v>0</v>
      </c>
      <c r="BW90" s="236">
        <f t="shared" si="200"/>
        <v>160576.45189451711</v>
      </c>
      <c r="BX90" s="236">
        <f t="shared" si="200"/>
        <v>0</v>
      </c>
      <c r="BY90" s="236">
        <f t="shared" si="200"/>
        <v>135326.27031892969</v>
      </c>
      <c r="BZ90" s="236">
        <f t="shared" si="200"/>
        <v>0</v>
      </c>
      <c r="CA90" s="236">
        <f t="shared" si="200"/>
        <v>202446.61810398081</v>
      </c>
      <c r="CB90" s="239">
        <f t="shared" si="200"/>
        <v>633920.75872285105</v>
      </c>
      <c r="CC90" s="240">
        <f t="shared" si="200"/>
        <v>2480944.6445568651</v>
      </c>
      <c r="CD90" s="343">
        <v>60</v>
      </c>
      <c r="CE90" s="239">
        <f t="shared" ref="CE90:CS90" si="201">CE88+CE66+CE73-CE70</f>
        <v>5334598.0340947825</v>
      </c>
      <c r="CF90" s="239">
        <f t="shared" si="201"/>
        <v>5538492.483819928</v>
      </c>
      <c r="CG90" s="239">
        <f t="shared" si="201"/>
        <v>6056579.6923810393</v>
      </c>
      <c r="CH90" s="239">
        <f t="shared" si="201"/>
        <v>6543383.6127732424</v>
      </c>
      <c r="CI90" s="236">
        <f t="shared" si="201"/>
        <v>23473053.823068995</v>
      </c>
      <c r="CJ90" s="239">
        <f t="shared" si="201"/>
        <v>3466465.6233558855</v>
      </c>
      <c r="CK90" s="239">
        <f t="shared" si="201"/>
        <v>3739773.6319659841</v>
      </c>
      <c r="CL90" s="239">
        <f t="shared" si="201"/>
        <v>4090154.7902312395</v>
      </c>
      <c r="CM90" s="239">
        <f t="shared" si="201"/>
        <v>4326532.9850336425</v>
      </c>
      <c r="CN90" s="236">
        <f t="shared" si="201"/>
        <v>1412086.8758658017</v>
      </c>
      <c r="CO90" s="239">
        <f t="shared" si="201"/>
        <v>8801063.6574506685</v>
      </c>
      <c r="CP90" s="239">
        <f t="shared" si="201"/>
        <v>9278266.1157859117</v>
      </c>
      <c r="CQ90" s="239">
        <f t="shared" si="201"/>
        <v>10146734.48261228</v>
      </c>
      <c r="CR90" s="239">
        <f t="shared" si="201"/>
        <v>10869916.597806884</v>
      </c>
      <c r="CS90" s="236">
        <f t="shared" si="201"/>
        <v>39095980.853655741</v>
      </c>
      <c r="CT90" s="361"/>
      <c r="CU90" s="361"/>
      <c r="CV90" s="361"/>
      <c r="CW90" s="361"/>
      <c r="CX90" s="361"/>
      <c r="CY90" s="361"/>
      <c r="CZ90" s="361"/>
      <c r="DA90" s="361"/>
      <c r="DB90" s="361"/>
      <c r="DC90" s="361"/>
      <c r="DD90" s="361"/>
      <c r="DE90" s="361"/>
      <c r="DF90" s="361"/>
      <c r="DG90" s="361"/>
      <c r="DH90" s="361"/>
      <c r="DI90" s="361"/>
      <c r="DJ90" s="361"/>
      <c r="DK90" s="361"/>
      <c r="DL90" s="361"/>
      <c r="DM90" s="361"/>
      <c r="DN90" s="361"/>
      <c r="DO90" s="361"/>
      <c r="DP90" s="361"/>
      <c r="DQ90" s="361"/>
      <c r="DR90" s="361"/>
      <c r="DS90" s="361"/>
      <c r="DT90" s="361"/>
      <c r="DU90" s="361"/>
      <c r="DV90" s="361"/>
      <c r="DW90" s="361"/>
      <c r="DX90" s="361"/>
      <c r="DY90" s="361"/>
      <c r="DZ90" s="361"/>
      <c r="EA90" s="361"/>
    </row>
    <row r="91" spans="1:131" ht="15.75" customHeight="1" x14ac:dyDescent="0.25">
      <c r="B91" s="343"/>
      <c r="C91" s="207" t="s">
        <v>32</v>
      </c>
      <c r="D91" s="207" t="s">
        <v>32</v>
      </c>
      <c r="E91" s="207" t="s">
        <v>32</v>
      </c>
      <c r="F91" s="207" t="s">
        <v>32</v>
      </c>
      <c r="G91" s="207" t="s">
        <v>32</v>
      </c>
      <c r="H91" s="207" t="s">
        <v>32</v>
      </c>
      <c r="I91" s="207" t="s">
        <v>32</v>
      </c>
      <c r="J91" s="207" t="s">
        <v>32</v>
      </c>
      <c r="K91" s="426"/>
      <c r="L91" s="427" t="s">
        <v>32</v>
      </c>
      <c r="M91" s="207" t="s">
        <v>32</v>
      </c>
      <c r="N91" s="207" t="s">
        <v>32</v>
      </c>
      <c r="O91" s="207" t="s">
        <v>32</v>
      </c>
      <c r="P91" s="207" t="s">
        <v>32</v>
      </c>
      <c r="Q91" s="207" t="s">
        <v>32</v>
      </c>
      <c r="R91" s="207" t="s">
        <v>32</v>
      </c>
      <c r="S91" s="207" t="s">
        <v>32</v>
      </c>
      <c r="T91" s="428" t="s">
        <v>32</v>
      </c>
      <c r="U91" s="470" t="s">
        <v>32</v>
      </c>
      <c r="V91" s="343"/>
      <c r="W91" s="207" t="s">
        <v>32</v>
      </c>
      <c r="X91" s="207" t="s">
        <v>32</v>
      </c>
      <c r="Y91" s="207" t="s">
        <v>32</v>
      </c>
      <c r="Z91" s="207" t="s">
        <v>32</v>
      </c>
      <c r="AA91" s="207" t="s">
        <v>32</v>
      </c>
      <c r="AB91" s="207" t="s">
        <v>32</v>
      </c>
      <c r="AC91" s="207" t="s">
        <v>32</v>
      </c>
      <c r="AD91" s="207" t="s">
        <v>32</v>
      </c>
      <c r="AE91" s="426"/>
      <c r="AF91" s="427" t="s">
        <v>32</v>
      </c>
      <c r="AG91" s="207" t="s">
        <v>32</v>
      </c>
      <c r="AH91" s="207" t="s">
        <v>32</v>
      </c>
      <c r="AI91" s="207" t="s">
        <v>32</v>
      </c>
      <c r="AJ91" s="207" t="s">
        <v>32</v>
      </c>
      <c r="AK91" s="207" t="s">
        <v>32</v>
      </c>
      <c r="AL91" s="207" t="s">
        <v>32</v>
      </c>
      <c r="AM91" s="207" t="s">
        <v>32</v>
      </c>
      <c r="AN91" s="428"/>
      <c r="AO91" s="470" t="s">
        <v>32</v>
      </c>
      <c r="AP91" s="343"/>
      <c r="AQ91" s="207" t="s">
        <v>32</v>
      </c>
      <c r="AR91" s="207" t="s">
        <v>32</v>
      </c>
      <c r="AS91" s="207" t="s">
        <v>32</v>
      </c>
      <c r="AT91" s="207" t="s">
        <v>32</v>
      </c>
      <c r="AU91" s="207" t="s">
        <v>32</v>
      </c>
      <c r="AV91" s="207" t="s">
        <v>32</v>
      </c>
      <c r="AW91" s="207" t="s">
        <v>32</v>
      </c>
      <c r="AX91" s="207" t="s">
        <v>32</v>
      </c>
      <c r="AY91" s="426"/>
      <c r="AZ91" s="427" t="s">
        <v>32</v>
      </c>
      <c r="BA91" s="207" t="s">
        <v>32</v>
      </c>
      <c r="BB91" s="207" t="s">
        <v>32</v>
      </c>
      <c r="BC91" s="207" t="s">
        <v>32</v>
      </c>
      <c r="BD91" s="207" t="s">
        <v>32</v>
      </c>
      <c r="BE91" s="207" t="s">
        <v>32</v>
      </c>
      <c r="BF91" s="207" t="s">
        <v>32</v>
      </c>
      <c r="BG91" s="207" t="s">
        <v>32</v>
      </c>
      <c r="BH91" s="428"/>
      <c r="BI91" s="470" t="s">
        <v>32</v>
      </c>
      <c r="BJ91" s="343"/>
      <c r="BK91" s="207" t="s">
        <v>32</v>
      </c>
      <c r="BL91" s="207" t="s">
        <v>32</v>
      </c>
      <c r="BM91" s="207" t="s">
        <v>32</v>
      </c>
      <c r="BN91" s="207" t="s">
        <v>32</v>
      </c>
      <c r="BO91" s="207" t="s">
        <v>32</v>
      </c>
      <c r="BP91" s="207" t="s">
        <v>32</v>
      </c>
      <c r="BQ91" s="207" t="s">
        <v>32</v>
      </c>
      <c r="BR91" s="207" t="s">
        <v>32</v>
      </c>
      <c r="BS91" s="426"/>
      <c r="BT91" s="427" t="s">
        <v>32</v>
      </c>
      <c r="BU91" s="207" t="s">
        <v>32</v>
      </c>
      <c r="BV91" s="207" t="s">
        <v>32</v>
      </c>
      <c r="BW91" s="207" t="s">
        <v>32</v>
      </c>
      <c r="BX91" s="207" t="s">
        <v>32</v>
      </c>
      <c r="BY91" s="207" t="s">
        <v>32</v>
      </c>
      <c r="BZ91" s="207" t="s">
        <v>32</v>
      </c>
      <c r="CA91" s="207" t="s">
        <v>32</v>
      </c>
      <c r="CB91" s="428"/>
      <c r="CC91" s="470" t="s">
        <v>32</v>
      </c>
      <c r="CD91" s="343"/>
      <c r="CE91" s="428" t="s">
        <v>32</v>
      </c>
      <c r="CF91" s="428"/>
      <c r="CG91" s="428"/>
      <c r="CH91" s="428"/>
      <c r="CI91" s="207"/>
      <c r="CJ91" s="428" t="s">
        <v>32</v>
      </c>
      <c r="CK91" s="428"/>
      <c r="CL91" s="428"/>
      <c r="CM91" s="428"/>
      <c r="CN91" s="207"/>
      <c r="CO91" s="428" t="s">
        <v>32</v>
      </c>
      <c r="CP91" s="428"/>
      <c r="CQ91" s="428"/>
      <c r="CR91" s="428"/>
      <c r="CS91" s="207"/>
    </row>
    <row r="92" spans="1:131" s="17" customFormat="1" ht="15.75" customHeight="1" x14ac:dyDescent="0.25">
      <c r="A92" s="19" t="s">
        <v>47</v>
      </c>
      <c r="B92" s="343">
        <v>61</v>
      </c>
      <c r="C92" s="236">
        <f t="shared" ref="C92:J92" si="202">C32-C90</f>
        <v>9280.9923987904767</v>
      </c>
      <c r="D92" s="236">
        <f t="shared" si="202"/>
        <v>-80627.532269315852</v>
      </c>
      <c r="E92" s="236">
        <f t="shared" si="202"/>
        <v>-269048.66254739923</v>
      </c>
      <c r="F92" s="236">
        <f t="shared" si="202"/>
        <v>-400142.47480312828</v>
      </c>
      <c r="G92" s="236">
        <f t="shared" si="202"/>
        <v>-191081.70702031345</v>
      </c>
      <c r="H92" s="236">
        <f t="shared" si="202"/>
        <v>-354151.84363043681</v>
      </c>
      <c r="I92" s="236">
        <f t="shared" si="202"/>
        <v>-147899.72987380152</v>
      </c>
      <c r="J92" s="236">
        <f t="shared" si="202"/>
        <v>-250631.05487048632</v>
      </c>
      <c r="K92" s="241">
        <f>SUM(C92:J92)</f>
        <v>-1684302.0126160909</v>
      </c>
      <c r="L92" s="238">
        <f t="shared" ref="L92:U92" si="203">L32-L90</f>
        <v>0</v>
      </c>
      <c r="M92" s="236">
        <f t="shared" si="203"/>
        <v>142631.67634630989</v>
      </c>
      <c r="N92" s="236">
        <f t="shared" si="203"/>
        <v>0</v>
      </c>
      <c r="O92" s="236">
        <f t="shared" si="203"/>
        <v>-277963.50497568748</v>
      </c>
      <c r="P92" s="236">
        <f t="shared" si="203"/>
        <v>0</v>
      </c>
      <c r="Q92" s="236">
        <f t="shared" si="203"/>
        <v>-291480.8906466061</v>
      </c>
      <c r="R92" s="236">
        <f t="shared" si="203"/>
        <v>0</v>
      </c>
      <c r="S92" s="236">
        <f t="shared" si="203"/>
        <v>-229307.46563612961</v>
      </c>
      <c r="T92" s="239">
        <f t="shared" si="203"/>
        <v>-656120.18491211347</v>
      </c>
      <c r="U92" s="240">
        <f t="shared" si="203"/>
        <v>-2340422.1975282044</v>
      </c>
      <c r="V92" s="343">
        <v>61</v>
      </c>
      <c r="W92" s="236">
        <f t="shared" ref="W92:AD92" si="204">W32-W90</f>
        <v>4745.9927403526335</v>
      </c>
      <c r="X92" s="236">
        <f t="shared" si="204"/>
        <v>39266.447919146885</v>
      </c>
      <c r="Y92" s="236">
        <f t="shared" si="204"/>
        <v>2180.7694510075407</v>
      </c>
      <c r="Z92" s="236">
        <f t="shared" si="204"/>
        <v>55876.057772779066</v>
      </c>
      <c r="AA92" s="236">
        <f t="shared" si="204"/>
        <v>611.24619797546256</v>
      </c>
      <c r="AB92" s="236">
        <f t="shared" si="204"/>
        <v>44818.00424397023</v>
      </c>
      <c r="AC92" s="236">
        <f t="shared" si="204"/>
        <v>14719.739191164164</v>
      </c>
      <c r="AD92" s="236">
        <f t="shared" si="204"/>
        <v>48282.222287898447</v>
      </c>
      <c r="AE92" s="241">
        <f>SUM(W92:AD92)</f>
        <v>210500.47980429442</v>
      </c>
      <c r="AF92" s="238">
        <f t="shared" ref="AF92:AM92" si="205">AF32-AF90</f>
        <v>0</v>
      </c>
      <c r="AG92" s="236">
        <f t="shared" si="205"/>
        <v>5884.0079010200279</v>
      </c>
      <c r="AH92" s="236">
        <f t="shared" si="205"/>
        <v>0</v>
      </c>
      <c r="AI92" s="236">
        <f t="shared" si="205"/>
        <v>56796.66592326836</v>
      </c>
      <c r="AJ92" s="236">
        <f t="shared" si="205"/>
        <v>0</v>
      </c>
      <c r="AK92" s="236">
        <f t="shared" si="205"/>
        <v>85776.622486218519</v>
      </c>
      <c r="AL92" s="236">
        <f t="shared" si="205"/>
        <v>0</v>
      </c>
      <c r="AM92" s="236">
        <f t="shared" si="205"/>
        <v>83410.334704022738</v>
      </c>
      <c r="AN92" s="239">
        <f>SUM(AF92:AM92)</f>
        <v>231867.63101452964</v>
      </c>
      <c r="AO92" s="240">
        <f>AO32-AO90</f>
        <v>442368.11081882427</v>
      </c>
      <c r="AP92" s="343">
        <v>61</v>
      </c>
      <c r="AQ92" s="236">
        <f t="shared" ref="AQ92:AX92" si="206">AQ32-AQ90</f>
        <v>81360.958570530871</v>
      </c>
      <c r="AR92" s="236">
        <f t="shared" si="206"/>
        <v>105406.73382324027</v>
      </c>
      <c r="AS92" s="236">
        <f t="shared" si="206"/>
        <v>321918.38592922036</v>
      </c>
      <c r="AT92" s="236">
        <f t="shared" si="206"/>
        <v>450244.52341551427</v>
      </c>
      <c r="AU92" s="236">
        <f t="shared" si="206"/>
        <v>143116.06156955799</v>
      </c>
      <c r="AV92" s="236">
        <f t="shared" si="206"/>
        <v>547112.74936879287</v>
      </c>
      <c r="AW92" s="236">
        <f t="shared" si="206"/>
        <v>-49814.697737761773</v>
      </c>
      <c r="AX92" s="236">
        <f t="shared" si="206"/>
        <v>559721.04063764634</v>
      </c>
      <c r="AY92" s="241">
        <f>SUM(AQ92:AX92)</f>
        <v>2159065.755576741</v>
      </c>
      <c r="AZ92" s="238">
        <f t="shared" ref="AZ92:BG92" si="207">AZ32-AZ90</f>
        <v>0</v>
      </c>
      <c r="BA92" s="236">
        <f t="shared" si="207"/>
        <v>607758.06025274238</v>
      </c>
      <c r="BB92" s="236">
        <f t="shared" si="207"/>
        <v>0</v>
      </c>
      <c r="BC92" s="236">
        <f t="shared" si="207"/>
        <v>522422.62328375038</v>
      </c>
      <c r="BD92" s="236">
        <f t="shared" si="207"/>
        <v>0</v>
      </c>
      <c r="BE92" s="236">
        <f t="shared" si="207"/>
        <v>634302.14041189151</v>
      </c>
      <c r="BF92" s="236">
        <f t="shared" si="207"/>
        <v>0</v>
      </c>
      <c r="BG92" s="236">
        <f t="shared" si="207"/>
        <v>604197.87603723072</v>
      </c>
      <c r="BH92" s="239">
        <f>SUM(AZ92:BG92)</f>
        <v>2368680.699985615</v>
      </c>
      <c r="BI92" s="240">
        <f>BI32-BI90</f>
        <v>4527746.4555623606</v>
      </c>
      <c r="BJ92" s="343">
        <v>61</v>
      </c>
      <c r="BK92" s="236">
        <f t="shared" ref="BK92:BR92" si="208">BK32-BK90</f>
        <v>-2884.1369937200943</v>
      </c>
      <c r="BL92" s="236">
        <f t="shared" si="208"/>
        <v>22593.282487943128</v>
      </c>
      <c r="BM92" s="236">
        <f t="shared" si="208"/>
        <v>2567.1373292738717</v>
      </c>
      <c r="BN92" s="236">
        <f t="shared" si="208"/>
        <v>15503.188717530982</v>
      </c>
      <c r="BO92" s="236">
        <f t="shared" si="208"/>
        <v>-603.18679243263614</v>
      </c>
      <c r="BP92" s="236">
        <f t="shared" si="208"/>
        <v>-38196.869481316186</v>
      </c>
      <c r="BQ92" s="236">
        <f t="shared" si="208"/>
        <v>20583.103863864733</v>
      </c>
      <c r="BR92" s="236">
        <f t="shared" si="208"/>
        <v>-5991.8743863195414</v>
      </c>
      <c r="BS92" s="241">
        <f>SUM(BK92:BR92)</f>
        <v>13570.644744824258</v>
      </c>
      <c r="BT92" s="238">
        <f t="shared" ref="BT92:CA92" si="209">BT32-BT90</f>
        <v>0</v>
      </c>
      <c r="BU92" s="236">
        <f t="shared" si="209"/>
        <v>92567.318746328092</v>
      </c>
      <c r="BV92" s="236">
        <f t="shared" si="209"/>
        <v>0</v>
      </c>
      <c r="BW92" s="236">
        <f t="shared" si="209"/>
        <v>33405.129560653411</v>
      </c>
      <c r="BX92" s="236">
        <f t="shared" si="209"/>
        <v>0</v>
      </c>
      <c r="BY92" s="236">
        <f t="shared" si="209"/>
        <v>25699.542210441257</v>
      </c>
      <c r="BZ92" s="236">
        <f t="shared" si="209"/>
        <v>0</v>
      </c>
      <c r="CA92" s="236">
        <f t="shared" si="209"/>
        <v>-55269.651035120507</v>
      </c>
      <c r="CB92" s="239">
        <f>SUM(BT92:CA92)</f>
        <v>96402.339482302254</v>
      </c>
      <c r="CC92" s="240">
        <f>CC32-CC90</f>
        <v>109972.98422712646</v>
      </c>
      <c r="CD92" s="343">
        <v>61</v>
      </c>
      <c r="CE92" s="239">
        <f t="shared" ref="CE92:CS92" si="210">CE32-CE90</f>
        <v>179142.73867696803</v>
      </c>
      <c r="CF92" s="239">
        <f t="shared" si="210"/>
        <v>179098.92526479717</v>
      </c>
      <c r="CG92" s="239">
        <f t="shared" si="210"/>
        <v>151624.45445579849</v>
      </c>
      <c r="CH92" s="239">
        <f t="shared" si="210"/>
        <v>188968.74911220465</v>
      </c>
      <c r="CI92" s="236">
        <f t="shared" si="210"/>
        <v>698834.86750976369</v>
      </c>
      <c r="CJ92" s="239">
        <f t="shared" si="210"/>
        <v>848841.06324640056</v>
      </c>
      <c r="CK92" s="239">
        <f t="shared" si="210"/>
        <v>334660.91379198246</v>
      </c>
      <c r="CL92" s="239">
        <f t="shared" si="210"/>
        <v>454297.41446194379</v>
      </c>
      <c r="CM92" s="239">
        <f t="shared" si="210"/>
        <v>403031.09407000151</v>
      </c>
      <c r="CN92" s="236">
        <f t="shared" si="210"/>
        <v>-1412086.8758658017</v>
      </c>
      <c r="CO92" s="239">
        <f t="shared" si="210"/>
        <v>1027983.8019233681</v>
      </c>
      <c r="CP92" s="239">
        <f t="shared" si="210"/>
        <v>513759.83905678056</v>
      </c>
      <c r="CQ92" s="239">
        <f t="shared" si="210"/>
        <v>605921.86891774274</v>
      </c>
      <c r="CR92" s="239">
        <f t="shared" si="210"/>
        <v>591999.84318220802</v>
      </c>
      <c r="CS92" s="236">
        <f t="shared" si="210"/>
        <v>2739665.3530801013</v>
      </c>
      <c r="CT92" s="361"/>
      <c r="CU92" s="361"/>
      <c r="CV92" s="361"/>
      <c r="CW92" s="361"/>
      <c r="CX92" s="361"/>
      <c r="CY92" s="361"/>
      <c r="CZ92" s="361"/>
      <c r="DA92" s="361"/>
      <c r="DB92" s="361"/>
      <c r="DC92" s="361"/>
      <c r="DD92" s="361"/>
      <c r="DE92" s="361"/>
      <c r="DF92" s="361"/>
      <c r="DG92" s="361"/>
      <c r="DH92" s="361"/>
      <c r="DI92" s="361"/>
      <c r="DJ92" s="361"/>
      <c r="DK92" s="361"/>
      <c r="DL92" s="361"/>
      <c r="DM92" s="361"/>
      <c r="DN92" s="361"/>
      <c r="DO92" s="361"/>
      <c r="DP92" s="361"/>
      <c r="DQ92" s="361"/>
      <c r="DR92" s="361"/>
      <c r="DS92" s="361"/>
      <c r="DT92" s="361"/>
      <c r="DU92" s="361"/>
      <c r="DV92" s="361"/>
      <c r="DW92" s="361"/>
      <c r="DX92" s="361"/>
      <c r="DY92" s="361"/>
      <c r="DZ92" s="361"/>
      <c r="EA92" s="361"/>
    </row>
    <row r="93" spans="1:131" ht="15.75" customHeight="1" x14ac:dyDescent="0.25">
      <c r="B93" s="343"/>
      <c r="C93" s="349" t="s">
        <v>35</v>
      </c>
      <c r="D93" s="349" t="s">
        <v>35</v>
      </c>
      <c r="E93" s="349" t="s">
        <v>35</v>
      </c>
      <c r="F93" s="349" t="s">
        <v>35</v>
      </c>
      <c r="G93" s="349" t="s">
        <v>35</v>
      </c>
      <c r="H93" s="349" t="s">
        <v>35</v>
      </c>
      <c r="I93" s="349" t="s">
        <v>35</v>
      </c>
      <c r="J93" s="349" t="s">
        <v>35</v>
      </c>
      <c r="K93" s="432"/>
      <c r="L93" s="433" t="s">
        <v>35</v>
      </c>
      <c r="M93" s="349" t="s">
        <v>35</v>
      </c>
      <c r="N93" s="349" t="s">
        <v>35</v>
      </c>
      <c r="O93" s="349" t="s">
        <v>35</v>
      </c>
      <c r="P93" s="349" t="s">
        <v>35</v>
      </c>
      <c r="Q93" s="349" t="s">
        <v>35</v>
      </c>
      <c r="R93" s="349" t="s">
        <v>35</v>
      </c>
      <c r="S93" s="349" t="s">
        <v>35</v>
      </c>
      <c r="T93" s="434" t="s">
        <v>35</v>
      </c>
      <c r="U93" s="433" t="s">
        <v>35</v>
      </c>
      <c r="V93" s="343"/>
      <c r="W93" s="349" t="s">
        <v>35</v>
      </c>
      <c r="X93" s="349" t="s">
        <v>35</v>
      </c>
      <c r="Y93" s="349" t="s">
        <v>35</v>
      </c>
      <c r="Z93" s="349" t="s">
        <v>35</v>
      </c>
      <c r="AA93" s="349" t="s">
        <v>35</v>
      </c>
      <c r="AB93" s="349" t="s">
        <v>35</v>
      </c>
      <c r="AC93" s="349" t="s">
        <v>35</v>
      </c>
      <c r="AD93" s="349" t="s">
        <v>35</v>
      </c>
      <c r="AE93" s="432"/>
      <c r="AF93" s="433" t="s">
        <v>35</v>
      </c>
      <c r="AG93" s="349" t="s">
        <v>35</v>
      </c>
      <c r="AH93" s="349" t="s">
        <v>35</v>
      </c>
      <c r="AI93" s="349" t="s">
        <v>35</v>
      </c>
      <c r="AJ93" s="349" t="s">
        <v>35</v>
      </c>
      <c r="AK93" s="349" t="s">
        <v>35</v>
      </c>
      <c r="AL93" s="349" t="s">
        <v>35</v>
      </c>
      <c r="AM93" s="349" t="s">
        <v>35</v>
      </c>
      <c r="AN93" s="434" t="s">
        <v>35</v>
      </c>
      <c r="AO93" s="433" t="s">
        <v>35</v>
      </c>
      <c r="AP93" s="343"/>
      <c r="AQ93" s="349" t="s">
        <v>35</v>
      </c>
      <c r="AR93" s="349" t="s">
        <v>35</v>
      </c>
      <c r="AS93" s="349" t="s">
        <v>35</v>
      </c>
      <c r="AT93" s="349" t="s">
        <v>35</v>
      </c>
      <c r="AU93" s="349" t="s">
        <v>35</v>
      </c>
      <c r="AV93" s="349" t="s">
        <v>35</v>
      </c>
      <c r="AW93" s="349" t="s">
        <v>35</v>
      </c>
      <c r="AX93" s="349" t="s">
        <v>35</v>
      </c>
      <c r="AY93" s="432"/>
      <c r="AZ93" s="433" t="s">
        <v>35</v>
      </c>
      <c r="BA93" s="349" t="s">
        <v>35</v>
      </c>
      <c r="BB93" s="349" t="s">
        <v>35</v>
      </c>
      <c r="BC93" s="349" t="s">
        <v>35</v>
      </c>
      <c r="BD93" s="349" t="s">
        <v>35</v>
      </c>
      <c r="BE93" s="349" t="s">
        <v>35</v>
      </c>
      <c r="BF93" s="349" t="s">
        <v>35</v>
      </c>
      <c r="BG93" s="349" t="s">
        <v>35</v>
      </c>
      <c r="BH93" s="434" t="s">
        <v>35</v>
      </c>
      <c r="BI93" s="433" t="s">
        <v>35</v>
      </c>
      <c r="BJ93" s="343"/>
      <c r="BK93" s="349" t="s">
        <v>35</v>
      </c>
      <c r="BL93" s="349" t="s">
        <v>35</v>
      </c>
      <c r="BM93" s="349" t="s">
        <v>35</v>
      </c>
      <c r="BN93" s="349" t="s">
        <v>35</v>
      </c>
      <c r="BO93" s="349" t="s">
        <v>35</v>
      </c>
      <c r="BP93" s="349" t="s">
        <v>35</v>
      </c>
      <c r="BQ93" s="349" t="s">
        <v>35</v>
      </c>
      <c r="BR93" s="349" t="s">
        <v>35</v>
      </c>
      <c r="BS93" s="432"/>
      <c r="BT93" s="433" t="s">
        <v>35</v>
      </c>
      <c r="BU93" s="349" t="s">
        <v>35</v>
      </c>
      <c r="BV93" s="349" t="s">
        <v>35</v>
      </c>
      <c r="BW93" s="349" t="s">
        <v>35</v>
      </c>
      <c r="BX93" s="349" t="s">
        <v>35</v>
      </c>
      <c r="BY93" s="349" t="s">
        <v>35</v>
      </c>
      <c r="BZ93" s="349" t="s">
        <v>35</v>
      </c>
      <c r="CA93" s="349" t="s">
        <v>35</v>
      </c>
      <c r="CB93" s="434" t="s">
        <v>35</v>
      </c>
      <c r="CC93" s="433" t="s">
        <v>35</v>
      </c>
      <c r="CD93" s="343"/>
      <c r="CE93" s="434" t="s">
        <v>35</v>
      </c>
      <c r="CF93" s="434"/>
      <c r="CG93" s="434"/>
      <c r="CH93" s="434"/>
      <c r="CI93" s="349"/>
      <c r="CJ93" s="434" t="s">
        <v>35</v>
      </c>
      <c r="CK93" s="434"/>
      <c r="CL93" s="434"/>
      <c r="CM93" s="434"/>
      <c r="CN93" s="349"/>
      <c r="CO93" s="434" t="s">
        <v>35</v>
      </c>
      <c r="CP93" s="434"/>
      <c r="CQ93" s="434"/>
      <c r="CR93" s="434"/>
      <c r="CS93" s="349"/>
    </row>
    <row r="94" spans="1:131" ht="15.75" customHeight="1" x14ac:dyDescent="0.25">
      <c r="A94" s="148" t="s">
        <v>48</v>
      </c>
      <c r="B94" s="343">
        <v>62</v>
      </c>
      <c r="C94" s="435">
        <f t="shared" ref="C94:U94" si="211">IF((C32-C28)=0,"",C92/(C32-C28))</f>
        <v>0.18897506241395684</v>
      </c>
      <c r="D94" s="435">
        <f t="shared" si="211"/>
        <v>-0.47199862657435265</v>
      </c>
      <c r="E94" s="435">
        <f t="shared" si="211"/>
        <v>-5.7432873871060952</v>
      </c>
      <c r="F94" s="435">
        <f t="shared" si="211"/>
        <v>-2.1676088243957263</v>
      </c>
      <c r="G94" s="435">
        <f t="shared" si="211"/>
        <v>-3.8933702662357152</v>
      </c>
      <c r="H94" s="435">
        <f t="shared" si="211"/>
        <v>-1.6926378053091682</v>
      </c>
      <c r="I94" s="435">
        <f t="shared" si="211"/>
        <v>-2.6623962018895893</v>
      </c>
      <c r="J94" s="435">
        <f t="shared" si="211"/>
        <v>-1.1291756294373456</v>
      </c>
      <c r="K94" s="436">
        <f t="shared" si="211"/>
        <v>-1.7061396100639319</v>
      </c>
      <c r="L94" s="437" t="str">
        <f t="shared" si="211"/>
        <v/>
      </c>
      <c r="M94" s="435">
        <f t="shared" si="211"/>
        <v>0.27126827487012717</v>
      </c>
      <c r="N94" s="435" t="str">
        <f t="shared" si="211"/>
        <v/>
      </c>
      <c r="O94" s="435">
        <f t="shared" si="211"/>
        <v>-0.50851478214090884</v>
      </c>
      <c r="P94" s="435" t="str">
        <f t="shared" si="211"/>
        <v/>
      </c>
      <c r="Q94" s="435">
        <f t="shared" si="211"/>
        <v>-0.48711515382031434</v>
      </c>
      <c r="R94" s="435" t="str">
        <f t="shared" si="211"/>
        <v/>
      </c>
      <c r="S94" s="435">
        <f t="shared" si="211"/>
        <v>-0.35757053500774388</v>
      </c>
      <c r="T94" s="438">
        <f t="shared" si="211"/>
        <v>-0.28377810372416556</v>
      </c>
      <c r="U94" s="437">
        <f t="shared" si="211"/>
        <v>-0.70937159610871015</v>
      </c>
      <c r="V94" s="343">
        <v>62</v>
      </c>
      <c r="W94" s="435">
        <f t="shared" ref="W94:AO94" si="212">IF((W32-W28)=0,"",W92/(W32-W28))</f>
        <v>0.3751304374910196</v>
      </c>
      <c r="X94" s="435">
        <f t="shared" si="212"/>
        <v>0.33972217538021598</v>
      </c>
      <c r="Y94" s="435">
        <f t="shared" si="212"/>
        <v>0.21611590933940827</v>
      </c>
      <c r="Z94" s="435">
        <f t="shared" si="212"/>
        <v>0.53081830229498272</v>
      </c>
      <c r="AA94" s="435">
        <f t="shared" si="212"/>
        <v>2.538374640993573E-2</v>
      </c>
      <c r="AB94" s="435">
        <f t="shared" si="212"/>
        <v>0.49350339415929162</v>
      </c>
      <c r="AC94" s="435">
        <f t="shared" si="212"/>
        <v>0.61127926535406085</v>
      </c>
      <c r="AD94" s="435">
        <f t="shared" si="212"/>
        <v>0.50853368604544202</v>
      </c>
      <c r="AE94" s="436">
        <f t="shared" si="212"/>
        <v>0.44082876751153088</v>
      </c>
      <c r="AF94" s="437" t="str">
        <f t="shared" si="212"/>
        <v/>
      </c>
      <c r="AG94" s="435">
        <f t="shared" si="212"/>
        <v>2.6842552534770296E-2</v>
      </c>
      <c r="AH94" s="435" t="str">
        <f t="shared" si="212"/>
        <v/>
      </c>
      <c r="AI94" s="435">
        <f t="shared" si="212"/>
        <v>0.31293451785642634</v>
      </c>
      <c r="AJ94" s="435" t="str">
        <f t="shared" si="212"/>
        <v/>
      </c>
      <c r="AK94" s="435">
        <f t="shared" si="212"/>
        <v>0.47384343728449735</v>
      </c>
      <c r="AL94" s="435" t="str">
        <f t="shared" si="212"/>
        <v/>
      </c>
      <c r="AM94" s="435">
        <f t="shared" si="212"/>
        <v>0.44629037527855037</v>
      </c>
      <c r="AN94" s="438">
        <f t="shared" si="212"/>
        <v>0.30166682091771729</v>
      </c>
      <c r="AO94" s="437">
        <f t="shared" si="212"/>
        <v>0.35499287972253879</v>
      </c>
      <c r="AP94" s="343">
        <v>62</v>
      </c>
      <c r="AQ94" s="435">
        <f t="shared" ref="AQ94:BI94" si="213">IF((AQ32-AQ28)=0,"",AQ92/(AQ32-AQ28))</f>
        <v>5.5706795100354013E-2</v>
      </c>
      <c r="AR94" s="435">
        <f t="shared" si="213"/>
        <v>3.3724052658452228E-2</v>
      </c>
      <c r="AS94" s="435">
        <f t="shared" si="213"/>
        <v>0.20386763640471867</v>
      </c>
      <c r="AT94" s="435">
        <f t="shared" si="213"/>
        <v>0.13497861108323878</v>
      </c>
      <c r="AU94" s="435">
        <f t="shared" si="213"/>
        <v>8.523588021496778E-2</v>
      </c>
      <c r="AV94" s="435">
        <f t="shared" si="213"/>
        <v>0.14649946752494963</v>
      </c>
      <c r="AW94" s="435">
        <f t="shared" si="213"/>
        <v>-2.7320890246950523E-2</v>
      </c>
      <c r="AX94" s="435">
        <f t="shared" si="213"/>
        <v>0.13622435524455179</v>
      </c>
      <c r="AY94" s="436">
        <f t="shared" si="213"/>
        <v>0.10356928875198498</v>
      </c>
      <c r="AZ94" s="437" t="str">
        <f t="shared" si="213"/>
        <v/>
      </c>
      <c r="BA94" s="435">
        <f t="shared" si="213"/>
        <v>0.18184546445669797</v>
      </c>
      <c r="BB94" s="435" t="str">
        <f t="shared" si="213"/>
        <v/>
      </c>
      <c r="BC94" s="435">
        <f t="shared" si="213"/>
        <v>0.16572546463956037</v>
      </c>
      <c r="BD94" s="435" t="str">
        <f t="shared" si="213"/>
        <v/>
      </c>
      <c r="BE94" s="435">
        <f t="shared" si="213"/>
        <v>0.17599844079023819</v>
      </c>
      <c r="BF94" s="435" t="str">
        <f t="shared" si="213"/>
        <v/>
      </c>
      <c r="BG94" s="435">
        <f t="shared" si="213"/>
        <v>0.16093930391014813</v>
      </c>
      <c r="BH94" s="438">
        <f t="shared" si="213"/>
        <v>0.1709902471668539</v>
      </c>
      <c r="BI94" s="437">
        <f t="shared" si="213"/>
        <v>0.13048521342488045</v>
      </c>
      <c r="BJ94" s="343">
        <v>62</v>
      </c>
      <c r="BK94" s="435">
        <f t="shared" ref="BK94:CC94" si="214">IF((BK32-BK28)=0,"",BK92/(BK32-BK28))</f>
        <v>-4.477495346427534E-2</v>
      </c>
      <c r="BL94" s="435">
        <f t="shared" si="214"/>
        <v>4.3864437097752965E-2</v>
      </c>
      <c r="BM94" s="435">
        <f t="shared" si="214"/>
        <v>3.9840531395822637E-2</v>
      </c>
      <c r="BN94" s="435">
        <f t="shared" si="214"/>
        <v>3.9586744982839032E-2</v>
      </c>
      <c r="BO94" s="435">
        <f t="shared" si="214"/>
        <v>-1.0576827469990346E-2</v>
      </c>
      <c r="BP94" s="435">
        <f t="shared" si="214"/>
        <v>-0.10483884450694662</v>
      </c>
      <c r="BQ94" s="435">
        <f t="shared" si="214"/>
        <v>0.39378413538660789</v>
      </c>
      <c r="BR94" s="435">
        <f t="shared" si="214"/>
        <v>-1.7050912585559949E-2</v>
      </c>
      <c r="BS94" s="436">
        <f t="shared" si="214"/>
        <v>7.2937141982258643E-3</v>
      </c>
      <c r="BT94" s="437" t="str">
        <f t="shared" si="214"/>
        <v/>
      </c>
      <c r="BU94" s="435">
        <f t="shared" si="214"/>
        <v>0.40575011461010635</v>
      </c>
      <c r="BV94" s="435" t="str">
        <f t="shared" si="214"/>
        <v/>
      </c>
      <c r="BW94" s="435">
        <f t="shared" si="214"/>
        <v>0.1722077390547174</v>
      </c>
      <c r="BX94" s="435" t="str">
        <f t="shared" si="214"/>
        <v/>
      </c>
      <c r="BY94" s="435">
        <f t="shared" si="214"/>
        <v>0.15959889788324272</v>
      </c>
      <c r="BZ94" s="435" t="str">
        <f t="shared" si="214"/>
        <v/>
      </c>
      <c r="CA94" s="435">
        <f t="shared" si="214"/>
        <v>-0.37553193367044491</v>
      </c>
      <c r="CB94" s="438">
        <f t="shared" si="214"/>
        <v>0.13199957624128453</v>
      </c>
      <c r="CC94" s="437">
        <f t="shared" si="214"/>
        <v>4.2445573338717311E-2</v>
      </c>
      <c r="CD94" s="343">
        <v>62</v>
      </c>
      <c r="CE94" s="438">
        <f t="shared" ref="CE94:CS94" si="215">IF((CE32-CE28)=0,"",CE92/(CE32-CE28))</f>
        <v>3.2490235950449517E-2</v>
      </c>
      <c r="CF94" s="438">
        <f t="shared" si="215"/>
        <v>3.1324190983676364E-2</v>
      </c>
      <c r="CG94" s="438">
        <f t="shared" si="215"/>
        <v>2.4423239131569661E-2</v>
      </c>
      <c r="CH94" s="438">
        <f t="shared" si="215"/>
        <v>2.8068755013779832E-2</v>
      </c>
      <c r="CI94" s="471">
        <f t="shared" si="215"/>
        <v>2.8911057652774221E-2</v>
      </c>
      <c r="CJ94" s="438">
        <f t="shared" si="215"/>
        <v>0.19670468981539452</v>
      </c>
      <c r="CK94" s="438">
        <f t="shared" si="215"/>
        <v>8.2136775062544423E-2</v>
      </c>
      <c r="CL94" s="438">
        <f t="shared" si="215"/>
        <v>9.9967475506239911E-2</v>
      </c>
      <c r="CM94" s="438">
        <f t="shared" si="215"/>
        <v>8.5215272978473894E-2</v>
      </c>
      <c r="CN94" s="471" t="str">
        <f t="shared" si="215"/>
        <v/>
      </c>
      <c r="CO94" s="438">
        <f t="shared" si="215"/>
        <v>0.10458630972861691</v>
      </c>
      <c r="CP94" s="438">
        <f t="shared" si="215"/>
        <v>5.246716475487876E-2</v>
      </c>
      <c r="CQ94" s="438">
        <f t="shared" si="215"/>
        <v>5.6350900569004478E-2</v>
      </c>
      <c r="CR94" s="438">
        <f t="shared" si="215"/>
        <v>5.1649289735279394E-2</v>
      </c>
      <c r="CS94" s="471">
        <f t="shared" si="215"/>
        <v>6.5486387841165825E-2</v>
      </c>
    </row>
    <row r="95" spans="1:131" s="360" customFormat="1" ht="15.75" customHeight="1" x14ac:dyDescent="0.25">
      <c r="A95" s="148" t="s">
        <v>1446</v>
      </c>
      <c r="B95" s="343">
        <v>63</v>
      </c>
      <c r="C95" s="440">
        <f>IF((C32-C28-C25)=0,"",(C73+C66-C64)/(C32-C28-C25))</f>
        <v>0.7221441003898027</v>
      </c>
      <c r="D95" s="440">
        <f t="shared" ref="D95:U95" si="216">IF((D32-D28-D25)=0,"",(D73+D66-D64)/(D32-D28-D25))</f>
        <v>1.3831177893781124</v>
      </c>
      <c r="E95" s="440">
        <f t="shared" si="216"/>
        <v>6.6430254751171889</v>
      </c>
      <c r="F95" s="440">
        <f t="shared" si="216"/>
        <v>3.0673469124068196</v>
      </c>
      <c r="G95" s="440">
        <f t="shared" si="216"/>
        <v>4.7945574998071585</v>
      </c>
      <c r="H95" s="440">
        <f t="shared" si="216"/>
        <v>2.5938250388806114</v>
      </c>
      <c r="I95" s="440">
        <f t="shared" si="216"/>
        <v>3.561464687601462</v>
      </c>
      <c r="J95" s="440">
        <f t="shared" si="216"/>
        <v>2.0282441151492185</v>
      </c>
      <c r="K95" s="436">
        <f t="shared" si="216"/>
        <v>2.608604184783021</v>
      </c>
      <c r="L95" s="441" t="str">
        <f t="shared" si="216"/>
        <v/>
      </c>
      <c r="M95" s="440">
        <f t="shared" si="216"/>
        <v>0.648298677200142</v>
      </c>
      <c r="N95" s="440" t="str">
        <f t="shared" si="216"/>
        <v/>
      </c>
      <c r="O95" s="440">
        <f t="shared" si="216"/>
        <v>1.4179404256211088</v>
      </c>
      <c r="P95" s="440" t="str">
        <f t="shared" si="216"/>
        <v/>
      </c>
      <c r="Q95" s="440">
        <f t="shared" si="216"/>
        <v>1.4016026767360412</v>
      </c>
      <c r="R95" s="440" t="str">
        <f t="shared" si="216"/>
        <v/>
      </c>
      <c r="S95" s="440">
        <f t="shared" si="216"/>
        <v>1.2727156948119858</v>
      </c>
      <c r="T95" s="438">
        <f t="shared" si="216"/>
        <v>1.1984064358867201</v>
      </c>
      <c r="U95" s="442">
        <f t="shared" si="216"/>
        <v>1.6203603359539751</v>
      </c>
      <c r="V95" s="343">
        <v>63</v>
      </c>
      <c r="W95" s="440">
        <f>IF((W32-W28-W25)=0,"",(W73+W66-W64)/(W32-W28-W25))</f>
        <v>0.53598872531274</v>
      </c>
      <c r="X95" s="440">
        <f t="shared" ref="X95:AO95" si="217">IF((X32-X28-X25)=0,"",(X73+X66-X64)/(X32-X28-X25))</f>
        <v>0.57139698742354361</v>
      </c>
      <c r="Y95" s="440">
        <f t="shared" si="217"/>
        <v>0.6836221786716854</v>
      </c>
      <c r="Z95" s="440">
        <f t="shared" si="217"/>
        <v>0.36891978571611089</v>
      </c>
      <c r="AA95" s="440">
        <f t="shared" si="217"/>
        <v>0.87580348716150724</v>
      </c>
      <c r="AB95" s="440">
        <f t="shared" si="217"/>
        <v>0.40768383941215131</v>
      </c>
      <c r="AC95" s="440">
        <f t="shared" si="217"/>
        <v>0.28778922035781218</v>
      </c>
      <c r="AD95" s="440">
        <f t="shared" si="217"/>
        <v>0.39053479966643107</v>
      </c>
      <c r="AE95" s="436">
        <f t="shared" si="217"/>
        <v>0.46214749084529466</v>
      </c>
      <c r="AF95" s="441" t="str">
        <f t="shared" si="217"/>
        <v/>
      </c>
      <c r="AG95" s="440">
        <f t="shared" si="217"/>
        <v>0.89564664041770392</v>
      </c>
      <c r="AH95" s="440" t="str">
        <f t="shared" si="217"/>
        <v/>
      </c>
      <c r="AI95" s="440">
        <f t="shared" si="217"/>
        <v>0.59886538577794612</v>
      </c>
      <c r="AJ95" s="440" t="str">
        <f t="shared" si="217"/>
        <v/>
      </c>
      <c r="AK95" s="440">
        <f t="shared" si="217"/>
        <v>0.4556291120041932</v>
      </c>
      <c r="AL95" s="440" t="str">
        <f t="shared" si="217"/>
        <v/>
      </c>
      <c r="AM95" s="440">
        <f t="shared" si="217"/>
        <v>0.47979897125393195</v>
      </c>
      <c r="AN95" s="438">
        <f t="shared" si="217"/>
        <v>0.6208183822397314</v>
      </c>
      <c r="AO95" s="442">
        <f t="shared" si="217"/>
        <v>0.56001660781636797</v>
      </c>
      <c r="AP95" s="343">
        <v>63</v>
      </c>
      <c r="AQ95" s="440">
        <f>IF((AQ32-AQ28-AQ25)=0,"",(AQ73+AQ66-AQ64)/(AQ32-AQ28-AQ25))</f>
        <v>0.85541236770340556</v>
      </c>
      <c r="AR95" s="440">
        <f t="shared" ref="AR95:BI95" si="218">IF((AR32-AR28-AR25)=0,"",(AR73+AR66-AR64)/(AR32-AR28-AR25))</f>
        <v>0.87739511014530736</v>
      </c>
      <c r="AS95" s="440">
        <f t="shared" si="218"/>
        <v>0.69587045160637506</v>
      </c>
      <c r="AT95" s="440">
        <f t="shared" si="218"/>
        <v>0.76475947692785484</v>
      </c>
      <c r="AU95" s="440">
        <f t="shared" si="218"/>
        <v>0.81595135335647517</v>
      </c>
      <c r="AV95" s="440">
        <f t="shared" si="218"/>
        <v>0.75468776604649324</v>
      </c>
      <c r="AW95" s="440">
        <f t="shared" si="218"/>
        <v>0.92638937595882376</v>
      </c>
      <c r="AX95" s="440">
        <f t="shared" si="218"/>
        <v>0.76284413046732125</v>
      </c>
      <c r="AY95" s="436">
        <f t="shared" si="218"/>
        <v>0.79885833176156873</v>
      </c>
      <c r="AZ95" s="441" t="str">
        <f t="shared" si="218"/>
        <v/>
      </c>
      <c r="BA95" s="440">
        <f t="shared" si="218"/>
        <v>0.74308465755140585</v>
      </c>
      <c r="BB95" s="440" t="str">
        <f t="shared" si="218"/>
        <v/>
      </c>
      <c r="BC95" s="440">
        <f t="shared" si="218"/>
        <v>0.75521055944323645</v>
      </c>
      <c r="BD95" s="440" t="str">
        <f t="shared" si="218"/>
        <v/>
      </c>
      <c r="BE95" s="440">
        <f t="shared" si="218"/>
        <v>0.74457099404711879</v>
      </c>
      <c r="BF95" s="440" t="str">
        <f t="shared" si="218"/>
        <v/>
      </c>
      <c r="BG95" s="440">
        <f t="shared" si="218"/>
        <v>0.75770444445507701</v>
      </c>
      <c r="BH95" s="438">
        <f t="shared" si="218"/>
        <v>0.75019281101086455</v>
      </c>
      <c r="BI95" s="442">
        <f t="shared" si="218"/>
        <v>0.77942998898078264</v>
      </c>
      <c r="BJ95" s="343">
        <v>63</v>
      </c>
      <c r="BK95" s="440">
        <f>IF((BK32-BK28-BK25)=0,"",(BK73+BK66-BK64)/(BK32-BK28-BK25))</f>
        <v>1.0338955666975027</v>
      </c>
      <c r="BL95" s="440">
        <f t="shared" ref="BL95:CS95" si="219">IF((BL32-BL28-BL25)=0,"",(BL73+BL66-BL64)/(BL32-BL28-BL25))</f>
        <v>0.93863848205111999</v>
      </c>
      <c r="BM95" s="440">
        <f t="shared" si="219"/>
        <v>0.93192210745838833</v>
      </c>
      <c r="BN95" s="440">
        <f t="shared" si="219"/>
        <v>0.9321949311802803</v>
      </c>
      <c r="BO95" s="440">
        <f t="shared" si="219"/>
        <v>0.98969331844792086</v>
      </c>
      <c r="BP95" s="440">
        <f t="shared" si="219"/>
        <v>1.0912242227081457</v>
      </c>
      <c r="BQ95" s="440">
        <f t="shared" si="219"/>
        <v>0.69204621272027289</v>
      </c>
      <c r="BR95" s="440">
        <f t="shared" si="219"/>
        <v>1.2294505624466221</v>
      </c>
      <c r="BS95" s="436">
        <f t="shared" si="219"/>
        <v>1.0141208684171907</v>
      </c>
      <c r="BT95" s="441" t="str">
        <f t="shared" si="219"/>
        <v/>
      </c>
      <c r="BU95" s="440">
        <f t="shared" si="219"/>
        <v>0.51190407077260869</v>
      </c>
      <c r="BV95" s="440" t="str">
        <f t="shared" si="219"/>
        <v/>
      </c>
      <c r="BW95" s="440">
        <f t="shared" si="219"/>
        <v>0.73727282002468653</v>
      </c>
      <c r="BX95" s="440" t="str">
        <f t="shared" si="219"/>
        <v/>
      </c>
      <c r="BY95" s="440">
        <f t="shared" si="219"/>
        <v>0.75385178043295076</v>
      </c>
      <c r="BZ95" s="440" t="str">
        <f t="shared" si="219"/>
        <v/>
      </c>
      <c r="CA95" s="440">
        <f t="shared" si="219"/>
        <v>1.2871413426639633</v>
      </c>
      <c r="CB95" s="438">
        <f t="shared" si="219"/>
        <v>0.78133863178741092</v>
      </c>
      <c r="CC95" s="442">
        <f t="shared" si="219"/>
        <v>0.94309537242057895</v>
      </c>
      <c r="CD95" s="343">
        <v>63</v>
      </c>
      <c r="CE95" s="438">
        <f t="shared" ref="CE95:CN95" si="220">IF((CE32-CE28-CE25)=0,"",(CE73+CE66-CE64)/(CE32-CE28-CE25))</f>
        <v>0.88574504184433134</v>
      </c>
      <c r="CF95" s="438">
        <f t="shared" si="220"/>
        <v>0.87383560031513585</v>
      </c>
      <c r="CG95" s="438">
        <f t="shared" si="220"/>
        <v>0.88152766962089124</v>
      </c>
      <c r="CH95" s="438">
        <f t="shared" si="220"/>
        <v>0.88492202642137507</v>
      </c>
      <c r="CI95" s="439">
        <f t="shared" si="220"/>
        <v>0.88160598933775036</v>
      </c>
      <c r="CJ95" s="438">
        <f t="shared" si="220"/>
        <v>0.72706330923677365</v>
      </c>
      <c r="CK95" s="438">
        <f t="shared" si="220"/>
        <v>0.83630267866930685</v>
      </c>
      <c r="CL95" s="438">
        <f t="shared" si="220"/>
        <v>0.8199035385396608</v>
      </c>
      <c r="CM95" s="438">
        <f t="shared" si="220"/>
        <v>0.8330294210756426</v>
      </c>
      <c r="CN95" s="439" t="str">
        <f t="shared" si="220"/>
        <v/>
      </c>
      <c r="CO95" s="438">
        <f t="shared" si="219"/>
        <v>0.81579151600719191</v>
      </c>
      <c r="CP95" s="438">
        <f t="shared" si="219"/>
        <v>0.85816733610374474</v>
      </c>
      <c r="CQ95" s="438">
        <f t="shared" si="219"/>
        <v>0.85540986175710843</v>
      </c>
      <c r="CR95" s="438">
        <f t="shared" si="219"/>
        <v>0.86333032932917508</v>
      </c>
      <c r="CS95" s="439">
        <f t="shared" si="219"/>
        <v>0.84890452199851008</v>
      </c>
    </row>
    <row r="96" spans="1:131" s="360" customFormat="1" ht="15.75" customHeight="1" x14ac:dyDescent="0.25">
      <c r="A96" s="148" t="s">
        <v>1529</v>
      </c>
      <c r="B96" s="343">
        <v>64</v>
      </c>
      <c r="C96" s="440">
        <f>IF((C32-C28)=0,"",(C73)/(C32-C28))</f>
        <v>3.0901694050124537E-2</v>
      </c>
      <c r="D96" s="440">
        <f t="shared" ref="D96:U96" si="221">IF((D32-D28)=0,"",(D73)/(D32-D28))</f>
        <v>3.0901694050124537E-2</v>
      </c>
      <c r="E96" s="440">
        <f t="shared" si="221"/>
        <v>3.3452807766538299E-2</v>
      </c>
      <c r="F96" s="440">
        <f t="shared" si="221"/>
        <v>3.3452807766538292E-2</v>
      </c>
      <c r="G96" s="440">
        <f t="shared" si="221"/>
        <v>3.4899848854720555E-2</v>
      </c>
      <c r="H96" s="440">
        <f t="shared" si="221"/>
        <v>3.4899848854720555E-2</v>
      </c>
      <c r="I96" s="440">
        <f t="shared" si="221"/>
        <v>3.3520489019398178E-2</v>
      </c>
      <c r="J96" s="440">
        <f t="shared" si="221"/>
        <v>3.3520489019398178E-2</v>
      </c>
      <c r="K96" s="436">
        <f t="shared" si="221"/>
        <v>3.3282113532523548E-2</v>
      </c>
      <c r="L96" s="441" t="str">
        <f t="shared" si="221"/>
        <v/>
      </c>
      <c r="M96" s="440">
        <f t="shared" si="221"/>
        <v>2.6867866863840417E-2</v>
      </c>
      <c r="N96" s="440" t="str">
        <f t="shared" si="221"/>
        <v/>
      </c>
      <c r="O96" s="440">
        <f t="shared" si="221"/>
        <v>2.9220736077064571E-2</v>
      </c>
      <c r="P96" s="440" t="str">
        <f t="shared" si="221"/>
        <v/>
      </c>
      <c r="Q96" s="440">
        <f t="shared" si="221"/>
        <v>2.9276918452407381E-2</v>
      </c>
      <c r="R96" s="440" t="str">
        <f t="shared" si="221"/>
        <v/>
      </c>
      <c r="S96" s="440">
        <f t="shared" si="221"/>
        <v>2.7335344280776896E-2</v>
      </c>
      <c r="T96" s="438">
        <f t="shared" si="221"/>
        <v>2.8177264778303929E-2</v>
      </c>
      <c r="U96" s="442">
        <f t="shared" si="221"/>
        <v>2.9704717820107664E-2</v>
      </c>
      <c r="V96" s="343">
        <v>64</v>
      </c>
      <c r="W96" s="440">
        <f t="shared" ref="W96:AO96" si="222">IF((W32-W28)=0,"",(W73)/(W32-W28))</f>
        <v>3.090169405012454E-2</v>
      </c>
      <c r="X96" s="440">
        <f t="shared" si="222"/>
        <v>3.0901694050124537E-2</v>
      </c>
      <c r="Y96" s="440">
        <f t="shared" si="222"/>
        <v>3.3452807766538285E-2</v>
      </c>
      <c r="Z96" s="440">
        <f t="shared" si="222"/>
        <v>3.3452807766538292E-2</v>
      </c>
      <c r="AA96" s="440">
        <f t="shared" si="222"/>
        <v>3.4899848854720555E-2</v>
      </c>
      <c r="AB96" s="440">
        <f t="shared" si="222"/>
        <v>3.4899848854720555E-2</v>
      </c>
      <c r="AC96" s="440">
        <f t="shared" si="222"/>
        <v>3.3520489019398178E-2</v>
      </c>
      <c r="AD96" s="440">
        <f t="shared" si="222"/>
        <v>3.3520489019398178E-2</v>
      </c>
      <c r="AE96" s="436">
        <f t="shared" si="222"/>
        <v>3.3132755737714535E-2</v>
      </c>
      <c r="AF96" s="441" t="str">
        <f t="shared" si="222"/>
        <v/>
      </c>
      <c r="AG96" s="440">
        <f t="shared" si="222"/>
        <v>2.5891721100524925E-2</v>
      </c>
      <c r="AH96" s="440" t="str">
        <f t="shared" si="222"/>
        <v/>
      </c>
      <c r="AI96" s="440">
        <f t="shared" si="222"/>
        <v>2.8454761776952355E-2</v>
      </c>
      <c r="AJ96" s="440" t="str">
        <f t="shared" si="222"/>
        <v/>
      </c>
      <c r="AK96" s="440">
        <f t="shared" si="222"/>
        <v>2.4146492927532532E-2</v>
      </c>
      <c r="AL96" s="440" t="str">
        <f t="shared" si="222"/>
        <v/>
      </c>
      <c r="AM96" s="440">
        <f t="shared" si="222"/>
        <v>2.3809757391456285E-2</v>
      </c>
      <c r="AN96" s="438">
        <f t="shared" si="222"/>
        <v>2.5579662026893296E-2</v>
      </c>
      <c r="AO96" s="442">
        <f t="shared" si="222"/>
        <v>2.8473964163649158E-2</v>
      </c>
      <c r="AP96" s="343">
        <v>64</v>
      </c>
      <c r="AQ96" s="440">
        <f t="shared" ref="AQ96:BI96" si="223">IF((AQ32-AQ28)=0,"",(AQ73)/(AQ32-AQ28))</f>
        <v>3.090169405012454E-2</v>
      </c>
      <c r="AR96" s="440">
        <f t="shared" si="223"/>
        <v>3.0901694050124533E-2</v>
      </c>
      <c r="AS96" s="440">
        <f t="shared" si="223"/>
        <v>3.3452807766538292E-2</v>
      </c>
      <c r="AT96" s="440">
        <f t="shared" si="223"/>
        <v>3.3452807766538299E-2</v>
      </c>
      <c r="AU96" s="440">
        <f t="shared" si="223"/>
        <v>3.4899848854720562E-2</v>
      </c>
      <c r="AV96" s="440">
        <f t="shared" si="223"/>
        <v>3.4899848854720548E-2</v>
      </c>
      <c r="AW96" s="440">
        <f t="shared" si="223"/>
        <v>3.3520489019398178E-2</v>
      </c>
      <c r="AX96" s="440">
        <f t="shared" si="223"/>
        <v>3.3520489019398178E-2</v>
      </c>
      <c r="AY96" s="436">
        <f t="shared" si="223"/>
        <v>3.3286622806050034E-2</v>
      </c>
      <c r="AZ96" s="441" t="str">
        <f t="shared" si="223"/>
        <v/>
      </c>
      <c r="BA96" s="440">
        <f t="shared" si="223"/>
        <v>2.5076352808774609E-2</v>
      </c>
      <c r="BB96" s="440" t="str">
        <f t="shared" si="223"/>
        <v/>
      </c>
      <c r="BC96" s="440">
        <f t="shared" si="223"/>
        <v>2.5507303195413104E-2</v>
      </c>
      <c r="BD96" s="440" t="str">
        <f t="shared" si="223"/>
        <v/>
      </c>
      <c r="BE96" s="440">
        <f t="shared" si="223"/>
        <v>2.7194653437574445E-2</v>
      </c>
      <c r="BF96" s="440" t="str">
        <f t="shared" si="223"/>
        <v/>
      </c>
      <c r="BG96" s="440">
        <f t="shared" si="223"/>
        <v>2.6208300465826135E-2</v>
      </c>
      <c r="BH96" s="438">
        <f t="shared" si="223"/>
        <v>2.603229883958804E-2</v>
      </c>
      <c r="BI96" s="442">
        <f t="shared" si="223"/>
        <v>3.0390537641662798E-2</v>
      </c>
      <c r="BJ96" s="343">
        <v>64</v>
      </c>
      <c r="BK96" s="440">
        <f t="shared" ref="BK96:CC96" si="224">IF((BK32-BK28)=0,"",(BK73)/(BK32-BK28))</f>
        <v>2.8754893539997783E-2</v>
      </c>
      <c r="BL96" s="440">
        <f t="shared" si="224"/>
        <v>2.8754893539997783E-2</v>
      </c>
      <c r="BM96" s="440">
        <f t="shared" si="224"/>
        <v>3.1118511353853816E-2</v>
      </c>
      <c r="BN96" s="440">
        <f t="shared" si="224"/>
        <v>3.1118511353853819E-2</v>
      </c>
      <c r="BO96" s="440">
        <f t="shared" si="224"/>
        <v>3.2401269064828382E-2</v>
      </c>
      <c r="BP96" s="440">
        <f t="shared" si="224"/>
        <v>3.2401269064828368E-2</v>
      </c>
      <c r="BQ96" s="440">
        <f t="shared" si="224"/>
        <v>2.5625754092514292E-2</v>
      </c>
      <c r="BR96" s="440">
        <f t="shared" si="224"/>
        <v>2.5625754092514292E-2</v>
      </c>
      <c r="BS96" s="436">
        <f t="shared" si="224"/>
        <v>2.9481138011297637E-2</v>
      </c>
      <c r="BT96" s="441" t="str">
        <f t="shared" si="224"/>
        <v/>
      </c>
      <c r="BU96" s="440">
        <f t="shared" si="224"/>
        <v>2.7506807722424951E-2</v>
      </c>
      <c r="BV96" s="440" t="str">
        <f t="shared" si="224"/>
        <v/>
      </c>
      <c r="BW96" s="440">
        <f t="shared" si="224"/>
        <v>2.9203019426430641E-2</v>
      </c>
      <c r="BX96" s="440" t="str">
        <f t="shared" si="224"/>
        <v/>
      </c>
      <c r="BY96" s="440">
        <f t="shared" si="224"/>
        <v>2.9631903079486425E-2</v>
      </c>
      <c r="BZ96" s="440" t="str">
        <f t="shared" si="224"/>
        <v/>
      </c>
      <c r="CA96" s="440">
        <f t="shared" si="224"/>
        <v>2.8474359633103231E-2</v>
      </c>
      <c r="CB96" s="438">
        <f t="shared" si="224"/>
        <v>2.862087681471288E-2</v>
      </c>
      <c r="CC96" s="442">
        <f t="shared" si="224"/>
        <v>2.9238649166659865E-2</v>
      </c>
      <c r="CD96" s="343">
        <v>64</v>
      </c>
      <c r="CE96" s="438">
        <f t="shared" ref="CE96:CS96" si="225">IF((CE32-CE28)=0,"",(CE73)/(CE32-CE28))</f>
        <v>3.0676069004651172E-2</v>
      </c>
      <c r="CF96" s="438">
        <f t="shared" si="225"/>
        <v>3.326661367861556E-2</v>
      </c>
      <c r="CG96" s="438">
        <f t="shared" si="225"/>
        <v>3.4730263333510737E-2</v>
      </c>
      <c r="CH96" s="438">
        <f t="shared" si="225"/>
        <v>3.304711022463195E-2</v>
      </c>
      <c r="CI96" s="439">
        <f t="shared" si="225"/>
        <v>3.2990477600967731E-2</v>
      </c>
      <c r="CJ96" s="438">
        <f t="shared" si="225"/>
        <v>2.5464548527613602E-2</v>
      </c>
      <c r="CK96" s="438">
        <f t="shared" si="225"/>
        <v>2.6312736721257241E-2</v>
      </c>
      <c r="CL96" s="438">
        <f t="shared" si="225"/>
        <v>2.7433771859284788E-2</v>
      </c>
      <c r="CM96" s="438">
        <f t="shared" si="225"/>
        <v>2.6336852790663667E-2</v>
      </c>
      <c r="CN96" s="439" t="str">
        <f t="shared" si="225"/>
        <v/>
      </c>
      <c r="CO96" s="438">
        <f t="shared" si="225"/>
        <v>2.8388023366975802E-2</v>
      </c>
      <c r="CP96" s="438">
        <f t="shared" si="225"/>
        <v>3.0373124973349333E-2</v>
      </c>
      <c r="CQ96" s="438">
        <f t="shared" si="225"/>
        <v>3.1646508428439954E-2</v>
      </c>
      <c r="CR96" s="438">
        <f t="shared" si="225"/>
        <v>3.0278237088570598E-2</v>
      </c>
      <c r="CS96" s="439">
        <f t="shared" si="225"/>
        <v>3.0208026526515844E-2</v>
      </c>
    </row>
    <row r="97" spans="1:102" ht="15.75" customHeight="1" x14ac:dyDescent="0.25">
      <c r="A97" s="148" t="s">
        <v>49</v>
      </c>
      <c r="B97" s="343">
        <v>65</v>
      </c>
      <c r="C97" s="440">
        <f t="shared" ref="C97:U97" si="226">IF((C32-C28)=0,"",C88/(C32-C28))</f>
        <v>8.8880837196240389E-2</v>
      </c>
      <c r="D97" s="440">
        <f t="shared" si="226"/>
        <v>8.8880837196240403E-2</v>
      </c>
      <c r="E97" s="440">
        <f t="shared" si="226"/>
        <v>0.10026191198890637</v>
      </c>
      <c r="F97" s="440">
        <f t="shared" si="226"/>
        <v>0.10026191198890635</v>
      </c>
      <c r="G97" s="440">
        <f t="shared" si="226"/>
        <v>9.8812766428557075E-2</v>
      </c>
      <c r="H97" s="440">
        <f t="shared" si="226"/>
        <v>9.8812766428557047E-2</v>
      </c>
      <c r="I97" s="440">
        <f t="shared" si="226"/>
        <v>0.10093151428812694</v>
      </c>
      <c r="J97" s="440">
        <f t="shared" si="226"/>
        <v>0.10093151428812695</v>
      </c>
      <c r="K97" s="443">
        <f t="shared" si="226"/>
        <v>9.7535425280910651E-2</v>
      </c>
      <c r="L97" s="441" t="str">
        <f t="shared" si="226"/>
        <v/>
      </c>
      <c r="M97" s="440">
        <f t="shared" si="226"/>
        <v>8.0433047929730897E-2</v>
      </c>
      <c r="N97" s="440" t="str">
        <f t="shared" si="226"/>
        <v/>
      </c>
      <c r="O97" s="440">
        <f t="shared" si="226"/>
        <v>9.05743565198001E-2</v>
      </c>
      <c r="P97" s="440" t="str">
        <f t="shared" si="226"/>
        <v/>
      </c>
      <c r="Q97" s="440">
        <f t="shared" si="226"/>
        <v>8.5512477084272953E-2</v>
      </c>
      <c r="R97" s="440" t="str">
        <f t="shared" si="226"/>
        <v/>
      </c>
      <c r="S97" s="440">
        <f t="shared" si="226"/>
        <v>8.4854840195758022E-2</v>
      </c>
      <c r="T97" s="444">
        <f t="shared" si="226"/>
        <v>8.5371667837445236E-2</v>
      </c>
      <c r="U97" s="441">
        <f t="shared" si="226"/>
        <v>8.9011260154735039E-2</v>
      </c>
      <c r="V97" s="343">
        <v>65</v>
      </c>
      <c r="W97" s="440">
        <f t="shared" ref="W97:AO97" si="227">IF((W32-W28)=0,"",W88/(W32-W28))</f>
        <v>8.8880837196240403E-2</v>
      </c>
      <c r="X97" s="440">
        <f t="shared" si="227"/>
        <v>8.8880837196240389E-2</v>
      </c>
      <c r="Y97" s="440">
        <f t="shared" si="227"/>
        <v>0.10026191198890637</v>
      </c>
      <c r="Z97" s="440">
        <f t="shared" si="227"/>
        <v>0.10026191198890635</v>
      </c>
      <c r="AA97" s="440">
        <f t="shared" si="227"/>
        <v>9.8812766428557061E-2</v>
      </c>
      <c r="AB97" s="440">
        <f t="shared" si="227"/>
        <v>9.8812766428557061E-2</v>
      </c>
      <c r="AC97" s="440">
        <f t="shared" si="227"/>
        <v>0.10093151428812693</v>
      </c>
      <c r="AD97" s="440">
        <f t="shared" si="227"/>
        <v>0.10093151428812695</v>
      </c>
      <c r="AE97" s="443">
        <f t="shared" si="227"/>
        <v>9.7023741643174496E-2</v>
      </c>
      <c r="AF97" s="441" t="str">
        <f t="shared" si="227"/>
        <v/>
      </c>
      <c r="AG97" s="440">
        <f t="shared" si="227"/>
        <v>7.751080704752579E-2</v>
      </c>
      <c r="AH97" s="440" t="str">
        <f t="shared" si="227"/>
        <v/>
      </c>
      <c r="AI97" s="440">
        <f t="shared" si="227"/>
        <v>8.8200096365627506E-2</v>
      </c>
      <c r="AJ97" s="440" t="str">
        <f t="shared" si="227"/>
        <v/>
      </c>
      <c r="AK97" s="440">
        <f t="shared" si="227"/>
        <v>7.052745071130935E-2</v>
      </c>
      <c r="AL97" s="440" t="str">
        <f t="shared" si="227"/>
        <v/>
      </c>
      <c r="AM97" s="440">
        <f t="shared" si="227"/>
        <v>7.3910653467517629E-2</v>
      </c>
      <c r="AN97" s="444">
        <f t="shared" si="227"/>
        <v>7.7514796842551539E-2</v>
      </c>
      <c r="AO97" s="441">
        <f t="shared" si="227"/>
        <v>8.4990512461093209E-2</v>
      </c>
      <c r="AP97" s="343">
        <v>65</v>
      </c>
      <c r="AQ97" s="440">
        <f t="shared" ref="AQ97:BI97" si="228">IF((AQ32-AQ28)=0,"",AQ88/(AQ32-AQ28))</f>
        <v>8.8880837196240403E-2</v>
      </c>
      <c r="AR97" s="440">
        <f t="shared" si="228"/>
        <v>8.8880837196240389E-2</v>
      </c>
      <c r="AS97" s="440">
        <f t="shared" si="228"/>
        <v>0.10026191198890637</v>
      </c>
      <c r="AT97" s="440">
        <f t="shared" si="228"/>
        <v>0.10026191198890635</v>
      </c>
      <c r="AU97" s="440">
        <f t="shared" si="228"/>
        <v>9.8812766428557061E-2</v>
      </c>
      <c r="AV97" s="440">
        <f t="shared" si="228"/>
        <v>9.8812766428557061E-2</v>
      </c>
      <c r="AW97" s="440">
        <f t="shared" si="228"/>
        <v>0.10093151428812694</v>
      </c>
      <c r="AX97" s="440">
        <f t="shared" si="228"/>
        <v>0.10093151428812694</v>
      </c>
      <c r="AY97" s="443">
        <f t="shared" si="228"/>
        <v>9.7572379486446495E-2</v>
      </c>
      <c r="AZ97" s="441" t="str">
        <f t="shared" si="228"/>
        <v/>
      </c>
      <c r="BA97" s="440">
        <f t="shared" si="228"/>
        <v>7.506987799189617E-2</v>
      </c>
      <c r="BB97" s="440" t="str">
        <f t="shared" si="228"/>
        <v/>
      </c>
      <c r="BC97" s="440">
        <f t="shared" si="228"/>
        <v>7.9063975917203169E-2</v>
      </c>
      <c r="BD97" s="440" t="str">
        <f t="shared" si="228"/>
        <v/>
      </c>
      <c r="BE97" s="440">
        <f t="shared" si="228"/>
        <v>7.9430565162642991E-2</v>
      </c>
      <c r="BF97" s="440" t="str">
        <f t="shared" si="228"/>
        <v/>
      </c>
      <c r="BG97" s="440">
        <f t="shared" si="228"/>
        <v>8.1356251634774807E-2</v>
      </c>
      <c r="BH97" s="444">
        <f t="shared" si="228"/>
        <v>7.8816941822281675E-2</v>
      </c>
      <c r="BI97" s="441">
        <f t="shared" si="228"/>
        <v>9.0084797594336921E-2</v>
      </c>
      <c r="BJ97" s="343">
        <v>65</v>
      </c>
      <c r="BK97" s="440">
        <f t="shared" ref="BK97:CC97" si="229">IF((BK32-BK28)=0,"",BK88/(BK32-BK28))</f>
        <v>8.2706113366411635E-2</v>
      </c>
      <c r="BL97" s="440">
        <f t="shared" si="229"/>
        <v>8.2706113366411621E-2</v>
      </c>
      <c r="BM97" s="440">
        <f t="shared" si="229"/>
        <v>9.3265757193233448E-2</v>
      </c>
      <c r="BN97" s="440">
        <f t="shared" si="229"/>
        <v>9.3265757193233462E-2</v>
      </c>
      <c r="BO97" s="440">
        <f t="shared" si="229"/>
        <v>9.173847845070715E-2</v>
      </c>
      <c r="BP97" s="440">
        <f t="shared" si="229"/>
        <v>9.1738478450707123E-2</v>
      </c>
      <c r="BQ97" s="440">
        <f t="shared" si="229"/>
        <v>7.7160156101418076E-2</v>
      </c>
      <c r="BR97" s="440">
        <f t="shared" si="229"/>
        <v>7.7160156101418076E-2</v>
      </c>
      <c r="BS97" s="443">
        <f t="shared" si="229"/>
        <v>8.6136734826035982E-2</v>
      </c>
      <c r="BT97" s="441" t="str">
        <f t="shared" si="229"/>
        <v/>
      </c>
      <c r="BU97" s="440">
        <f t="shared" si="229"/>
        <v>8.234581461728499E-2</v>
      </c>
      <c r="BV97" s="440" t="str">
        <f t="shared" si="229"/>
        <v/>
      </c>
      <c r="BW97" s="440">
        <f t="shared" si="229"/>
        <v>9.0519440920596106E-2</v>
      </c>
      <c r="BX97" s="440" t="str">
        <f t="shared" si="229"/>
        <v/>
      </c>
      <c r="BY97" s="440">
        <f t="shared" si="229"/>
        <v>8.6549321683806621E-2</v>
      </c>
      <c r="BZ97" s="440" t="str">
        <f t="shared" si="229"/>
        <v/>
      </c>
      <c r="CA97" s="440">
        <f t="shared" si="229"/>
        <v>8.8390591006481639E-2</v>
      </c>
      <c r="CB97" s="444">
        <f t="shared" si="229"/>
        <v>8.6661791971304608E-2</v>
      </c>
      <c r="CC97" s="441">
        <f t="shared" si="229"/>
        <v>8.6284736968908926E-2</v>
      </c>
      <c r="CD97" s="343">
        <v>65</v>
      </c>
      <c r="CE97" s="444">
        <f t="shared" ref="CE97:CS97" si="230">IF((CE32-CE28)=0,"",CE88/(CE32-CE28))</f>
        <v>8.8231884329721691E-2</v>
      </c>
      <c r="CF97" s="444">
        <f t="shared" si="230"/>
        <v>9.9703866894860868E-2</v>
      </c>
      <c r="CG97" s="444">
        <f t="shared" si="230"/>
        <v>9.8332614936591373E-2</v>
      </c>
      <c r="CH97" s="444">
        <f t="shared" si="230"/>
        <v>9.9506152069813406E-2</v>
      </c>
      <c r="CI97" s="471">
        <f t="shared" si="230"/>
        <v>9.6679790584038694E-2</v>
      </c>
      <c r="CJ97" s="444">
        <f t="shared" si="230"/>
        <v>7.6232000947831863E-2</v>
      </c>
      <c r="CK97" s="444">
        <f t="shared" si="230"/>
        <v>8.1560546268148779E-2</v>
      </c>
      <c r="CL97" s="444">
        <f t="shared" si="230"/>
        <v>8.0128985954099327E-2</v>
      </c>
      <c r="CM97" s="444">
        <f t="shared" si="230"/>
        <v>8.1755305945883386E-2</v>
      </c>
      <c r="CN97" s="471" t="str">
        <f t="shared" si="230"/>
        <v/>
      </c>
      <c r="CO97" s="444">
        <f t="shared" si="230"/>
        <v>8.2963502300806902E-2</v>
      </c>
      <c r="CP97" s="444">
        <f t="shared" si="230"/>
        <v>9.2154482050789896E-2</v>
      </c>
      <c r="CQ97" s="444">
        <f t="shared" si="230"/>
        <v>9.0639118635918489E-2</v>
      </c>
      <c r="CR97" s="444">
        <f t="shared" si="230"/>
        <v>9.218156855590752E-2</v>
      </c>
      <c r="CS97" s="471">
        <f t="shared" si="230"/>
        <v>8.9613053757205519E-2</v>
      </c>
    </row>
    <row r="98" spans="1:102" s="360" customFormat="1" ht="15.75" customHeight="1" x14ac:dyDescent="0.25">
      <c r="A98" s="359"/>
      <c r="AP98" s="472"/>
    </row>
    <row r="99" spans="1:102" s="360" customFormat="1" ht="15.75" customHeight="1" x14ac:dyDescent="0.25">
      <c r="A99" s="359"/>
    </row>
    <row r="100" spans="1:102" s="360" customFormat="1" ht="15.75" customHeight="1" x14ac:dyDescent="0.25">
      <c r="C100" s="362"/>
      <c r="D100" s="362"/>
      <c r="E100" s="362"/>
      <c r="F100" s="362"/>
      <c r="G100" s="362"/>
      <c r="H100" s="362"/>
      <c r="I100" s="362"/>
      <c r="J100" s="362"/>
      <c r="L100" s="362"/>
      <c r="M100" s="362"/>
      <c r="N100" s="362"/>
      <c r="O100" s="362"/>
      <c r="P100" s="362"/>
      <c r="Q100" s="362"/>
      <c r="R100" s="362"/>
      <c r="S100" s="362"/>
      <c r="W100" s="362"/>
      <c r="X100" s="362"/>
      <c r="Y100" s="362"/>
      <c r="Z100" s="362"/>
      <c r="AA100" s="362"/>
      <c r="AB100" s="362"/>
      <c r="AC100" s="362"/>
      <c r="AD100" s="362"/>
      <c r="AF100" s="362"/>
      <c r="AG100" s="362"/>
      <c r="AH100" s="362"/>
      <c r="AI100" s="362"/>
      <c r="AJ100" s="362"/>
      <c r="AK100" s="362"/>
      <c r="AL100" s="362"/>
      <c r="AM100" s="362"/>
      <c r="AQ100" s="362"/>
      <c r="AR100" s="362"/>
      <c r="AS100" s="362"/>
      <c r="AT100" s="362"/>
      <c r="AU100" s="362"/>
      <c r="AV100" s="362"/>
      <c r="AW100" s="362"/>
      <c r="AX100" s="362"/>
      <c r="AZ100" s="362"/>
      <c r="BA100" s="362"/>
      <c r="BB100" s="362"/>
      <c r="BC100" s="362"/>
      <c r="BD100" s="362"/>
      <c r="BE100" s="362"/>
      <c r="BF100" s="362"/>
      <c r="BG100" s="362"/>
      <c r="BK100" s="362"/>
      <c r="BL100" s="362"/>
      <c r="BM100" s="362"/>
      <c r="BN100" s="362"/>
      <c r="BO100" s="362"/>
      <c r="BP100" s="362"/>
      <c r="BQ100" s="362"/>
      <c r="BR100" s="362"/>
      <c r="BT100" s="362"/>
      <c r="BU100" s="362"/>
      <c r="BV100" s="362"/>
      <c r="BW100" s="362"/>
      <c r="BX100" s="362"/>
      <c r="BY100" s="362"/>
      <c r="BZ100" s="362"/>
      <c r="CA100" s="362"/>
      <c r="CT100" s="362"/>
      <c r="CU100" s="362"/>
      <c r="CV100" s="362"/>
      <c r="CW100" s="362"/>
      <c r="CX100" s="362"/>
    </row>
    <row r="101" spans="1:102" s="360" customFormat="1" ht="15.75" customHeight="1" x14ac:dyDescent="0.25">
      <c r="C101" s="362"/>
      <c r="D101" s="362"/>
      <c r="F101" s="362"/>
      <c r="H101" s="362"/>
      <c r="J101" s="362"/>
      <c r="L101" s="362"/>
      <c r="M101" s="362"/>
      <c r="O101" s="362"/>
      <c r="Q101" s="362"/>
      <c r="S101" s="362"/>
      <c r="W101" s="362"/>
      <c r="X101" s="362"/>
      <c r="Z101" s="362"/>
      <c r="AB101" s="362"/>
      <c r="AD101" s="362"/>
      <c r="AF101" s="362"/>
      <c r="AG101" s="362"/>
      <c r="AI101" s="362"/>
      <c r="AK101" s="362"/>
      <c r="AM101" s="362"/>
      <c r="AQ101" s="362"/>
      <c r="AR101" s="362"/>
      <c r="AT101" s="362"/>
      <c r="AV101" s="362"/>
      <c r="AX101" s="362"/>
      <c r="AZ101" s="362"/>
      <c r="BA101" s="362"/>
      <c r="BC101" s="362"/>
      <c r="BE101" s="362"/>
      <c r="BG101" s="362"/>
      <c r="BK101" s="362"/>
      <c r="BL101" s="362"/>
      <c r="BN101" s="362"/>
      <c r="BP101" s="362"/>
      <c r="BR101" s="362"/>
      <c r="BT101" s="362"/>
      <c r="BU101" s="362"/>
      <c r="BW101" s="362"/>
      <c r="BY101" s="362"/>
      <c r="CA101" s="362"/>
      <c r="CT101" s="362"/>
      <c r="CV101" s="362"/>
      <c r="CX101" s="362"/>
    </row>
    <row r="102" spans="1:102" s="360" customFormat="1" ht="15.75" customHeight="1" x14ac:dyDescent="0.25"/>
    <row r="103" spans="1:102" s="360" customFormat="1" x14ac:dyDescent="0.25">
      <c r="C103" s="362"/>
      <c r="D103" s="362"/>
      <c r="E103" s="362"/>
      <c r="F103" s="362"/>
      <c r="G103" s="362"/>
      <c r="H103" s="362"/>
      <c r="I103" s="362"/>
      <c r="J103" s="362"/>
      <c r="L103" s="362"/>
      <c r="M103" s="362"/>
      <c r="N103" s="362"/>
      <c r="O103" s="362"/>
      <c r="P103" s="362"/>
      <c r="Q103" s="362"/>
      <c r="R103" s="362"/>
      <c r="S103" s="362"/>
      <c r="W103" s="362"/>
      <c r="X103" s="362"/>
      <c r="Y103" s="362"/>
      <c r="Z103" s="362"/>
      <c r="AA103" s="362"/>
      <c r="AB103" s="362"/>
      <c r="AC103" s="362"/>
      <c r="AD103" s="362"/>
      <c r="AF103" s="362"/>
      <c r="AG103" s="362"/>
      <c r="AH103" s="362"/>
      <c r="AI103" s="362"/>
      <c r="AJ103" s="362"/>
      <c r="AK103" s="362"/>
      <c r="AL103" s="362"/>
      <c r="AM103" s="362"/>
      <c r="AQ103" s="362"/>
      <c r="AR103" s="362"/>
      <c r="AS103" s="362"/>
      <c r="AT103" s="362"/>
      <c r="AU103" s="362"/>
      <c r="AV103" s="362"/>
      <c r="AW103" s="362"/>
      <c r="AX103" s="362"/>
      <c r="AZ103" s="362"/>
      <c r="BA103" s="362"/>
      <c r="BB103" s="362"/>
      <c r="BC103" s="362"/>
      <c r="BD103" s="362"/>
      <c r="BE103" s="362"/>
      <c r="BF103" s="362"/>
      <c r="BG103" s="362"/>
      <c r="BK103" s="362"/>
      <c r="BL103" s="362"/>
      <c r="BM103" s="362"/>
      <c r="BN103" s="362"/>
      <c r="BO103" s="362"/>
      <c r="BP103" s="362"/>
      <c r="BQ103" s="362"/>
      <c r="BR103" s="362"/>
      <c r="BT103" s="362"/>
      <c r="BU103" s="362"/>
      <c r="BV103" s="362"/>
      <c r="BW103" s="362"/>
      <c r="BX103" s="362"/>
      <c r="BY103" s="362"/>
      <c r="BZ103" s="362"/>
      <c r="CA103" s="362"/>
      <c r="CT103" s="362"/>
      <c r="CU103" s="362"/>
      <c r="CV103" s="362"/>
      <c r="CW103" s="362"/>
      <c r="CX103" s="362"/>
    </row>
    <row r="104" spans="1:102" s="360" customFormat="1" x14ac:dyDescent="0.25">
      <c r="C104" s="362"/>
      <c r="D104" s="362"/>
      <c r="F104" s="362"/>
      <c r="H104" s="362"/>
      <c r="J104" s="362"/>
      <c r="L104" s="362"/>
      <c r="M104" s="362"/>
      <c r="O104" s="362"/>
      <c r="Q104" s="362"/>
      <c r="S104" s="362"/>
      <c r="W104" s="362"/>
      <c r="X104" s="362"/>
      <c r="Z104" s="362"/>
      <c r="AB104" s="362"/>
      <c r="AD104" s="362"/>
      <c r="AF104" s="362"/>
      <c r="AG104" s="362"/>
      <c r="AI104" s="362"/>
      <c r="AK104" s="362"/>
      <c r="AM104" s="362"/>
      <c r="AQ104" s="362"/>
      <c r="AR104" s="362"/>
      <c r="AT104" s="362"/>
      <c r="AV104" s="362"/>
      <c r="AX104" s="362"/>
      <c r="AZ104" s="362"/>
      <c r="BA104" s="362"/>
      <c r="BC104" s="362"/>
      <c r="BE104" s="362"/>
      <c r="BG104" s="362"/>
      <c r="BK104" s="362"/>
      <c r="BL104" s="362"/>
      <c r="BN104" s="362"/>
      <c r="BP104" s="362"/>
      <c r="BR104" s="362"/>
      <c r="BT104" s="362"/>
      <c r="BU104" s="362"/>
      <c r="BW104" s="362"/>
      <c r="BY104" s="362"/>
      <c r="CA104" s="362"/>
      <c r="CT104" s="362"/>
      <c r="CV104" s="362"/>
      <c r="CX104" s="362"/>
    </row>
    <row r="105" spans="1:102" s="360" customFormat="1" x14ac:dyDescent="0.25"/>
    <row r="106" spans="1:102" s="360" customFormat="1" x14ac:dyDescent="0.25">
      <c r="CT106" s="362"/>
      <c r="CV106" s="362"/>
      <c r="CX106" s="362"/>
    </row>
    <row r="107" spans="1:102" s="360" customFormat="1" x14ac:dyDescent="0.25">
      <c r="CT107" s="362"/>
      <c r="CV107" s="362"/>
      <c r="CX107" s="362"/>
    </row>
    <row r="108" spans="1:102" s="360" customFormat="1" x14ac:dyDescent="0.25">
      <c r="CT108" s="362"/>
      <c r="CV108" s="362"/>
      <c r="CX108" s="362"/>
    </row>
    <row r="109" spans="1:102" s="360" customFormat="1" x14ac:dyDescent="0.25"/>
    <row r="110" spans="1:102" s="360" customFormat="1" x14ac:dyDescent="0.25">
      <c r="CT110" s="362"/>
      <c r="CV110" s="362"/>
      <c r="CX110" s="362"/>
    </row>
    <row r="111" spans="1:102" s="360" customFormat="1" x14ac:dyDescent="0.25"/>
    <row r="112" spans="1:102" s="360" customFormat="1" x14ac:dyDescent="0.25"/>
    <row r="113" s="360" customFormat="1" x14ac:dyDescent="0.25"/>
    <row r="114" s="360" customFormat="1" x14ac:dyDescent="0.25"/>
    <row r="115" s="360" customFormat="1" x14ac:dyDescent="0.25"/>
    <row r="116" s="360" customFormat="1" x14ac:dyDescent="0.25"/>
    <row r="117" s="360" customFormat="1" x14ac:dyDescent="0.25"/>
    <row r="118" s="360" customFormat="1" x14ac:dyDescent="0.25"/>
    <row r="119" s="360" customFormat="1" x14ac:dyDescent="0.25"/>
    <row r="120" s="360" customFormat="1" x14ac:dyDescent="0.25"/>
    <row r="121" s="360" customFormat="1" x14ac:dyDescent="0.25"/>
    <row r="122" s="360" customFormat="1" x14ac:dyDescent="0.25"/>
    <row r="123" s="360" customFormat="1" x14ac:dyDescent="0.25"/>
    <row r="124" s="360" customFormat="1" x14ac:dyDescent="0.25"/>
    <row r="125" s="360" customFormat="1" x14ac:dyDescent="0.25"/>
    <row r="126" s="360" customFormat="1" x14ac:dyDescent="0.25"/>
    <row r="127" s="360" customFormat="1" x14ac:dyDescent="0.25"/>
    <row r="128" s="360" customFormat="1" x14ac:dyDescent="0.25"/>
    <row r="129" s="360" customFormat="1" x14ac:dyDescent="0.25"/>
    <row r="130" s="360" customFormat="1" x14ac:dyDescent="0.25"/>
    <row r="131" s="360" customFormat="1" x14ac:dyDescent="0.25"/>
    <row r="132" s="360" customFormat="1" x14ac:dyDescent="0.25"/>
    <row r="133" s="360" customFormat="1" x14ac:dyDescent="0.25"/>
    <row r="134" s="360" customFormat="1" x14ac:dyDescent="0.25"/>
    <row r="135" s="360" customFormat="1" x14ac:dyDescent="0.25"/>
    <row r="136" s="360" customFormat="1" x14ac:dyDescent="0.25"/>
    <row r="137" s="360" customFormat="1" x14ac:dyDescent="0.25"/>
    <row r="138" s="360" customFormat="1" x14ac:dyDescent="0.25"/>
    <row r="139" s="360" customFormat="1" x14ac:dyDescent="0.25"/>
    <row r="140" s="360" customFormat="1" x14ac:dyDescent="0.25"/>
    <row r="141" s="360" customFormat="1" x14ac:dyDescent="0.25"/>
    <row r="142" s="360" customFormat="1" x14ac:dyDescent="0.25"/>
    <row r="143" s="360" customFormat="1" x14ac:dyDescent="0.25"/>
    <row r="144" s="360" customFormat="1" x14ac:dyDescent="0.25"/>
    <row r="145" s="360" customFormat="1" x14ac:dyDescent="0.25"/>
    <row r="146" s="360" customFormat="1" x14ac:dyDescent="0.25"/>
    <row r="147" s="360" customFormat="1" x14ac:dyDescent="0.25"/>
    <row r="148" s="360" customFormat="1" x14ac:dyDescent="0.25"/>
    <row r="149" s="360" customFormat="1" x14ac:dyDescent="0.25"/>
    <row r="150" s="360" customFormat="1" x14ac:dyDescent="0.25"/>
    <row r="151" s="360" customFormat="1" x14ac:dyDescent="0.25"/>
    <row r="152" s="360" customFormat="1" x14ac:dyDescent="0.25"/>
    <row r="153" s="360" customFormat="1" x14ac:dyDescent="0.25"/>
    <row r="154" s="360" customFormat="1" x14ac:dyDescent="0.25"/>
    <row r="155" s="360" customFormat="1" x14ac:dyDescent="0.25"/>
    <row r="156" s="360" customFormat="1" x14ac:dyDescent="0.25"/>
    <row r="157" s="360" customFormat="1" x14ac:dyDescent="0.25"/>
    <row r="158" s="360" customFormat="1" x14ac:dyDescent="0.25"/>
    <row r="159" s="360" customFormat="1" x14ac:dyDescent="0.25"/>
    <row r="160" s="360" customFormat="1" x14ac:dyDescent="0.25"/>
    <row r="161" s="360" customFormat="1" x14ac:dyDescent="0.25"/>
    <row r="162" s="360" customFormat="1" x14ac:dyDescent="0.25"/>
    <row r="163" s="360" customFormat="1" x14ac:dyDescent="0.25"/>
    <row r="164" s="360" customFormat="1" x14ac:dyDescent="0.25"/>
    <row r="165" s="360" customFormat="1" x14ac:dyDescent="0.25"/>
    <row r="166" s="360" customFormat="1" x14ac:dyDescent="0.25"/>
    <row r="167" s="360" customFormat="1" x14ac:dyDescent="0.25"/>
    <row r="168" s="360" customFormat="1" x14ac:dyDescent="0.25"/>
    <row r="169" s="360" customFormat="1" x14ac:dyDescent="0.25"/>
    <row r="170" s="360" customFormat="1" x14ac:dyDescent="0.25"/>
    <row r="171" s="360" customFormat="1" x14ac:dyDescent="0.25"/>
    <row r="172" s="360" customFormat="1" x14ac:dyDescent="0.25"/>
    <row r="173" s="360" customFormat="1" x14ac:dyDescent="0.25"/>
    <row r="174" s="360" customFormat="1" x14ac:dyDescent="0.25"/>
    <row r="175" s="360" customFormat="1" x14ac:dyDescent="0.25"/>
    <row r="176" s="360" customFormat="1" x14ac:dyDescent="0.25"/>
    <row r="177" s="360" customFormat="1" x14ac:dyDescent="0.25"/>
    <row r="178" s="360" customFormat="1" x14ac:dyDescent="0.25"/>
    <row r="179" s="360" customFormat="1" x14ac:dyDescent="0.25"/>
    <row r="180" s="360" customFormat="1" x14ac:dyDescent="0.25"/>
    <row r="181" s="360" customFormat="1" x14ac:dyDescent="0.25"/>
    <row r="182" s="360" customFormat="1" x14ac:dyDescent="0.25"/>
    <row r="183" s="360" customFormat="1" x14ac:dyDescent="0.25"/>
    <row r="184" s="360" customFormat="1" x14ac:dyDescent="0.25"/>
    <row r="185" s="360" customFormat="1" x14ac:dyDescent="0.25"/>
    <row r="186" s="360" customFormat="1" x14ac:dyDescent="0.25"/>
    <row r="187" s="360" customFormat="1" x14ac:dyDescent="0.25"/>
    <row r="188" s="360" customFormat="1" x14ac:dyDescent="0.25"/>
    <row r="189" s="360" customFormat="1" x14ac:dyDescent="0.25"/>
    <row r="190" s="360" customFormat="1" x14ac:dyDescent="0.25"/>
    <row r="191" s="360" customFormat="1" x14ac:dyDescent="0.25"/>
    <row r="192" s="360" customFormat="1" x14ac:dyDescent="0.25"/>
    <row r="193" s="360" customFormat="1" x14ac:dyDescent="0.25"/>
    <row r="194" s="360" customFormat="1" x14ac:dyDescent="0.25"/>
    <row r="195" s="360" customFormat="1" x14ac:dyDescent="0.25"/>
    <row r="196" s="360" customFormat="1" x14ac:dyDescent="0.25"/>
    <row r="197" s="360" customFormat="1" x14ac:dyDescent="0.25"/>
    <row r="198" s="360" customFormat="1" x14ac:dyDescent="0.25"/>
    <row r="199" s="360" customFormat="1" x14ac:dyDescent="0.25"/>
    <row r="200" s="360" customFormat="1" x14ac:dyDescent="0.25"/>
    <row r="201" s="360" customFormat="1" x14ac:dyDescent="0.25"/>
    <row r="202" s="360" customFormat="1" x14ac:dyDescent="0.25"/>
    <row r="203" s="360" customFormat="1" x14ac:dyDescent="0.25"/>
    <row r="204" s="360" customFormat="1" x14ac:dyDescent="0.25"/>
    <row r="205" s="360" customFormat="1" x14ac:dyDescent="0.25"/>
    <row r="206" s="360" customFormat="1" x14ac:dyDescent="0.25"/>
    <row r="207" s="360" customFormat="1" x14ac:dyDescent="0.25"/>
    <row r="208" s="360" customFormat="1" x14ac:dyDescent="0.25"/>
    <row r="209" s="360" customFormat="1" x14ac:dyDescent="0.25"/>
    <row r="210" s="360" customFormat="1" x14ac:dyDescent="0.25"/>
    <row r="211" s="360" customFormat="1" x14ac:dyDescent="0.25"/>
    <row r="212" s="360" customFormat="1" x14ac:dyDescent="0.25"/>
    <row r="213" s="360" customFormat="1" x14ac:dyDescent="0.25"/>
    <row r="214" s="360" customFormat="1" x14ac:dyDescent="0.25"/>
    <row r="215" s="360" customFormat="1" x14ac:dyDescent="0.25"/>
    <row r="216" s="360" customFormat="1" x14ac:dyDescent="0.25"/>
    <row r="217" s="360" customFormat="1" x14ac:dyDescent="0.25"/>
    <row r="218" s="360" customFormat="1" x14ac:dyDescent="0.25"/>
    <row r="219" s="360" customFormat="1" x14ac:dyDescent="0.25"/>
    <row r="220" s="360" customFormat="1" x14ac:dyDescent="0.25"/>
    <row r="221" s="360" customFormat="1" x14ac:dyDescent="0.25"/>
    <row r="222" s="360" customFormat="1" x14ac:dyDescent="0.25"/>
    <row r="223" s="360" customFormat="1" x14ac:dyDescent="0.25"/>
    <row r="224" s="360" customFormat="1" x14ac:dyDescent="0.25"/>
    <row r="225" s="360" customFormat="1" x14ac:dyDescent="0.25"/>
    <row r="226" s="360" customFormat="1" x14ac:dyDescent="0.25"/>
    <row r="227" s="360" customFormat="1" x14ac:dyDescent="0.25"/>
    <row r="228" s="360" customFormat="1" x14ac:dyDescent="0.25"/>
    <row r="229" s="360" customFormat="1" x14ac:dyDescent="0.25"/>
    <row r="230" s="360" customFormat="1" x14ac:dyDescent="0.25"/>
    <row r="231" s="360" customFormat="1" x14ac:dyDescent="0.25"/>
    <row r="232" s="360" customFormat="1" x14ac:dyDescent="0.25"/>
    <row r="233" s="360" customFormat="1" x14ac:dyDescent="0.25"/>
    <row r="234" s="360" customFormat="1" x14ac:dyDescent="0.25"/>
    <row r="235" s="360" customFormat="1" x14ac:dyDescent="0.25"/>
    <row r="236" s="360" customFormat="1" x14ac:dyDescent="0.25"/>
    <row r="237" s="360" customFormat="1" x14ac:dyDescent="0.25"/>
    <row r="238" s="360" customFormat="1" x14ac:dyDescent="0.25"/>
    <row r="239" s="360" customFormat="1" x14ac:dyDescent="0.25"/>
    <row r="240" s="360" customFormat="1" x14ac:dyDescent="0.25"/>
    <row r="241" s="360" customFormat="1" x14ac:dyDescent="0.25"/>
    <row r="242" s="360" customFormat="1" x14ac:dyDescent="0.25"/>
    <row r="243" s="360" customFormat="1" x14ac:dyDescent="0.25"/>
    <row r="244" s="360" customFormat="1" x14ac:dyDescent="0.25"/>
    <row r="245" s="360" customFormat="1" x14ac:dyDescent="0.25"/>
    <row r="246" s="360" customFormat="1" x14ac:dyDescent="0.25"/>
    <row r="247" s="360" customFormat="1" x14ac:dyDescent="0.25"/>
    <row r="248" s="360" customFormat="1" x14ac:dyDescent="0.25"/>
    <row r="249" s="360" customFormat="1" x14ac:dyDescent="0.25"/>
    <row r="250" s="360" customFormat="1" x14ac:dyDescent="0.25"/>
    <row r="251" s="360" customFormat="1" x14ac:dyDescent="0.25"/>
    <row r="252" s="360" customFormat="1" x14ac:dyDescent="0.25"/>
    <row r="253" s="360" customFormat="1" x14ac:dyDescent="0.25"/>
    <row r="254" s="360" customFormat="1" x14ac:dyDescent="0.25"/>
    <row r="255" s="360" customFormat="1" x14ac:dyDescent="0.25"/>
    <row r="256" s="360" customFormat="1" x14ac:dyDescent="0.25"/>
    <row r="257" s="360" customFormat="1" x14ac:dyDescent="0.25"/>
    <row r="258" s="360" customFormat="1" x14ac:dyDescent="0.25"/>
    <row r="259" s="360" customFormat="1" x14ac:dyDescent="0.25"/>
    <row r="260" s="360" customFormat="1" x14ac:dyDescent="0.25"/>
    <row r="261" s="360" customFormat="1" x14ac:dyDescent="0.25"/>
    <row r="262" s="360" customFormat="1" x14ac:dyDescent="0.25"/>
    <row r="263" s="360" customFormat="1" x14ac:dyDescent="0.25"/>
    <row r="264" s="360" customFormat="1" x14ac:dyDescent="0.25"/>
    <row r="265" s="360" customFormat="1" x14ac:dyDescent="0.25"/>
    <row r="266" s="360" customFormat="1" x14ac:dyDescent="0.25"/>
    <row r="267" s="360" customFormat="1" x14ac:dyDescent="0.25"/>
    <row r="268" s="360" customFormat="1" x14ac:dyDescent="0.25"/>
    <row r="269" s="360" customFormat="1" x14ac:dyDescent="0.25"/>
    <row r="270" s="360" customFormat="1" x14ac:dyDescent="0.25"/>
    <row r="271" s="360" customFormat="1" x14ac:dyDescent="0.25"/>
    <row r="272" s="360" customFormat="1" x14ac:dyDescent="0.25"/>
    <row r="273" s="360" customFormat="1" x14ac:dyDescent="0.25"/>
    <row r="274" s="360" customFormat="1" x14ac:dyDescent="0.25"/>
    <row r="275" s="360" customFormat="1" x14ac:dyDescent="0.25"/>
    <row r="276" s="360" customFormat="1" x14ac:dyDescent="0.25"/>
    <row r="277" s="360" customFormat="1" x14ac:dyDescent="0.25"/>
    <row r="278" s="360" customFormat="1" x14ac:dyDescent="0.25"/>
    <row r="279" s="360" customFormat="1" x14ac:dyDescent="0.25"/>
    <row r="280" s="360" customFormat="1" x14ac:dyDescent="0.25"/>
    <row r="281" s="360" customFormat="1" x14ac:dyDescent="0.25"/>
    <row r="282" s="360" customFormat="1" x14ac:dyDescent="0.25"/>
    <row r="283" s="360" customFormat="1" x14ac:dyDescent="0.25"/>
    <row r="284" s="360" customFormat="1" x14ac:dyDescent="0.25"/>
    <row r="285" s="360" customFormat="1" x14ac:dyDescent="0.25"/>
    <row r="286" s="360" customFormat="1" x14ac:dyDescent="0.25"/>
    <row r="287" s="360" customFormat="1" x14ac:dyDescent="0.25"/>
    <row r="288" s="360" customFormat="1" x14ac:dyDescent="0.25"/>
    <row r="289" s="360" customFormat="1" x14ac:dyDescent="0.25"/>
    <row r="290" s="360" customFormat="1" x14ac:dyDescent="0.25"/>
    <row r="291" s="360" customFormat="1" x14ac:dyDescent="0.25"/>
    <row r="292" s="360" customFormat="1" x14ac:dyDescent="0.25"/>
    <row r="293" s="360" customFormat="1" x14ac:dyDescent="0.25"/>
    <row r="294" s="360" customFormat="1" x14ac:dyDescent="0.25"/>
    <row r="295" s="360" customFormat="1" x14ac:dyDescent="0.25"/>
    <row r="296" s="360" customFormat="1" x14ac:dyDescent="0.25"/>
    <row r="297" s="360" customFormat="1" x14ac:dyDescent="0.25"/>
    <row r="298" s="360" customFormat="1" x14ac:dyDescent="0.25"/>
    <row r="299" s="360" customFormat="1" x14ac:dyDescent="0.25"/>
    <row r="300" s="360" customFormat="1" x14ac:dyDescent="0.25"/>
    <row r="301" s="360" customFormat="1" x14ac:dyDescent="0.25"/>
    <row r="302" s="360" customFormat="1" x14ac:dyDescent="0.25"/>
    <row r="303" s="360" customFormat="1" x14ac:dyDescent="0.25"/>
    <row r="304" s="360" customFormat="1" x14ac:dyDescent="0.25"/>
    <row r="305" s="360" customFormat="1" x14ac:dyDescent="0.25"/>
    <row r="306" s="360" customFormat="1" x14ac:dyDescent="0.25"/>
    <row r="307" s="360" customFormat="1" x14ac:dyDescent="0.25"/>
    <row r="308" s="360" customFormat="1" x14ac:dyDescent="0.25"/>
    <row r="309" s="360" customFormat="1" x14ac:dyDescent="0.25"/>
    <row r="310" s="360" customFormat="1" x14ac:dyDescent="0.25"/>
    <row r="311" s="360" customFormat="1" x14ac:dyDescent="0.25"/>
    <row r="312" s="360" customFormat="1" x14ac:dyDescent="0.25"/>
    <row r="313" s="360" customFormat="1" x14ac:dyDescent="0.25"/>
    <row r="314" s="360" customFormat="1" x14ac:dyDescent="0.25"/>
    <row r="315" s="360" customFormat="1" x14ac:dyDescent="0.25"/>
    <row r="316" s="360" customFormat="1" x14ac:dyDescent="0.25"/>
    <row r="317" s="360" customFormat="1" x14ac:dyDescent="0.25"/>
    <row r="318" s="360" customFormat="1" x14ac:dyDescent="0.25"/>
    <row r="319" s="360" customFormat="1" x14ac:dyDescent="0.25"/>
    <row r="320" s="360" customFormat="1" x14ac:dyDescent="0.25"/>
    <row r="321" s="360" customFormat="1" x14ac:dyDescent="0.25"/>
    <row r="322" s="360" customFormat="1" x14ac:dyDescent="0.25"/>
    <row r="323" s="360" customFormat="1" x14ac:dyDescent="0.25"/>
    <row r="324" s="360" customFormat="1" x14ac:dyDescent="0.25"/>
    <row r="325" s="360" customFormat="1" x14ac:dyDescent="0.25"/>
    <row r="326" s="360" customFormat="1" x14ac:dyDescent="0.25"/>
    <row r="327" s="360" customFormat="1" x14ac:dyDescent="0.25"/>
    <row r="328" s="360" customFormat="1" x14ac:dyDescent="0.25"/>
    <row r="329" s="360" customFormat="1" x14ac:dyDescent="0.25"/>
    <row r="330" s="360" customFormat="1" x14ac:dyDescent="0.25"/>
    <row r="331" s="360" customFormat="1" x14ac:dyDescent="0.25"/>
    <row r="332" s="360" customFormat="1" x14ac:dyDescent="0.25"/>
    <row r="333" s="360" customFormat="1" x14ac:dyDescent="0.25"/>
    <row r="334" s="360" customFormat="1" x14ac:dyDescent="0.25"/>
    <row r="335" s="360" customFormat="1" x14ac:dyDescent="0.25"/>
    <row r="336" s="360" customFormat="1" x14ac:dyDescent="0.25"/>
    <row r="337" s="360" customFormat="1" x14ac:dyDescent="0.25"/>
    <row r="338" s="360" customFormat="1" x14ac:dyDescent="0.25"/>
    <row r="339" s="360" customFormat="1" x14ac:dyDescent="0.25"/>
    <row r="340" s="360" customFormat="1" x14ac:dyDescent="0.25"/>
    <row r="341" s="360" customFormat="1" x14ac:dyDescent="0.25"/>
    <row r="342" s="360" customFormat="1" x14ac:dyDescent="0.25"/>
  </sheetData>
  <sheetProtection formatColumns="0"/>
  <mergeCells count="13">
    <mergeCell ref="CI10:CI13"/>
    <mergeCell ref="CN10:CN13"/>
    <mergeCell ref="CS10:CS13"/>
    <mergeCell ref="U11:U13"/>
    <mergeCell ref="AO11:AO13"/>
    <mergeCell ref="BI11:BI13"/>
    <mergeCell ref="CC11:CC13"/>
    <mergeCell ref="CD10:CD13"/>
    <mergeCell ref="G1:I1"/>
    <mergeCell ref="B10:B13"/>
    <mergeCell ref="V10:V13"/>
    <mergeCell ref="AP10:AP13"/>
    <mergeCell ref="BJ10:BJ13"/>
  </mergeCells>
  <pageMargins left="0.25" right="0.25" top="0.5" bottom="0.75" header="0.3" footer="0.3"/>
  <pageSetup paperSize="9" scale="59"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EA342"/>
  <sheetViews>
    <sheetView zoomScale="80" zoomScaleNormal="80" workbookViewId="0">
      <selection activeCell="CT30" sqref="CT1:CW1048576"/>
    </sheetView>
  </sheetViews>
  <sheetFormatPr defaultColWidth="9.44140625" defaultRowHeight="13.2" x14ac:dyDescent="0.25"/>
  <cols>
    <col min="1" max="1" width="49.44140625" style="149" bestFit="1" customWidth="1"/>
    <col min="2" max="2" width="8.5546875" style="149" bestFit="1" customWidth="1"/>
    <col min="3" max="21" width="15.5546875" style="149" customWidth="1"/>
    <col min="22" max="22" width="7.44140625" style="149" bestFit="1" customWidth="1"/>
    <col min="23" max="41" width="15.5546875" style="149" customWidth="1"/>
    <col min="42" max="42" width="7.44140625" style="149" bestFit="1" customWidth="1"/>
    <col min="43" max="61" width="15.5546875" style="149" customWidth="1"/>
    <col min="62" max="62" width="7.44140625" style="149" bestFit="1" customWidth="1"/>
    <col min="63" max="81" width="15.5546875" style="149" customWidth="1"/>
    <col min="82" max="82" width="7.44140625" style="149" bestFit="1" customWidth="1"/>
    <col min="83" max="95" width="15.5546875" style="149" customWidth="1"/>
    <col min="96" max="96" width="16.77734375" style="149" bestFit="1" customWidth="1"/>
    <col min="97" max="97" width="18.21875" style="149" bestFit="1" customWidth="1"/>
    <col min="98" max="98" width="13.44140625" style="360" bestFit="1" customWidth="1"/>
    <col min="99" max="99" width="11.44140625" style="360" bestFit="1" customWidth="1"/>
    <col min="100" max="100" width="13.44140625" style="360" bestFit="1" customWidth="1"/>
    <col min="101" max="101" width="11.44140625" style="360" bestFit="1" customWidth="1"/>
    <col min="102" max="102" width="13.44140625" style="360" bestFit="1" customWidth="1"/>
    <col min="103" max="131" width="9.44140625" style="360"/>
    <col min="132" max="16384" width="9.44140625" style="149"/>
  </cols>
  <sheetData>
    <row r="1" spans="1:131" s="199" customFormat="1" ht="27" customHeight="1" x14ac:dyDescent="0.25">
      <c r="A1" s="18" t="s">
        <v>1341</v>
      </c>
      <c r="G1" s="893"/>
      <c r="H1" s="893"/>
      <c r="I1" s="893"/>
      <c r="J1" s="364"/>
      <c r="K1" s="364"/>
      <c r="L1" s="200"/>
      <c r="M1" s="200"/>
      <c r="N1" s="200"/>
      <c r="O1" s="200"/>
      <c r="P1" s="200"/>
      <c r="Q1" s="200"/>
      <c r="R1" s="200"/>
      <c r="S1" s="200"/>
      <c r="T1" s="364"/>
      <c r="U1" s="200"/>
      <c r="V1" s="200"/>
      <c r="W1" s="200"/>
      <c r="X1" s="200"/>
      <c r="Y1" s="200"/>
      <c r="Z1" s="200"/>
      <c r="AA1" s="200"/>
      <c r="AB1" s="200"/>
      <c r="AC1" s="200"/>
      <c r="AD1" s="200"/>
      <c r="AE1" s="364"/>
      <c r="AF1" s="200"/>
      <c r="AG1" s="200"/>
      <c r="AH1" s="200"/>
      <c r="AI1" s="200"/>
      <c r="AJ1" s="200"/>
      <c r="AK1" s="200"/>
      <c r="AL1" s="200"/>
      <c r="AM1" s="200"/>
      <c r="AN1" s="364"/>
      <c r="AO1" s="200"/>
      <c r="AP1" s="200"/>
      <c r="AQ1" s="200"/>
      <c r="AR1" s="200"/>
      <c r="AS1" s="200"/>
      <c r="AT1" s="200"/>
      <c r="AU1" s="200"/>
      <c r="AV1" s="200"/>
      <c r="AW1" s="200"/>
      <c r="AX1" s="200"/>
      <c r="AY1" s="364"/>
      <c r="AZ1" s="200"/>
      <c r="BA1" s="200"/>
      <c r="BB1" s="200"/>
      <c r="BC1" s="200"/>
      <c r="BD1" s="200"/>
      <c r="BE1" s="200"/>
      <c r="BF1" s="200"/>
      <c r="BG1" s="200"/>
      <c r="BH1" s="364"/>
      <c r="BI1" s="200"/>
      <c r="BJ1" s="200"/>
      <c r="BK1" s="200"/>
      <c r="BL1" s="200"/>
      <c r="BM1" s="200"/>
      <c r="BN1" s="200"/>
      <c r="BO1" s="200"/>
      <c r="BP1" s="200"/>
      <c r="BQ1" s="200"/>
      <c r="BR1" s="200"/>
      <c r="BS1" s="364"/>
      <c r="BT1" s="200"/>
      <c r="BU1" s="200"/>
      <c r="BV1" s="200"/>
      <c r="BW1" s="200"/>
      <c r="BX1" s="200"/>
      <c r="BY1" s="200"/>
      <c r="BZ1" s="200"/>
      <c r="CA1" s="200"/>
      <c r="CB1" s="364"/>
      <c r="CC1" s="200"/>
      <c r="CD1" s="200"/>
      <c r="CE1" s="200"/>
      <c r="CF1" s="200"/>
      <c r="CG1" s="200"/>
      <c r="CH1" s="200"/>
      <c r="CI1" s="200"/>
      <c r="CJ1" s="200"/>
      <c r="CK1" s="200"/>
      <c r="CL1" s="200"/>
      <c r="CM1" s="200"/>
      <c r="CN1" s="200"/>
      <c r="CO1" s="200"/>
      <c r="CP1" s="200"/>
      <c r="CQ1" s="200"/>
      <c r="CR1" s="200"/>
      <c r="CS1" s="200"/>
      <c r="CT1" s="200"/>
      <c r="CU1" s="200"/>
      <c r="CV1" s="200"/>
      <c r="CW1" s="200"/>
      <c r="CX1" s="200"/>
      <c r="CY1" s="200"/>
      <c r="CZ1" s="200"/>
      <c r="DA1" s="200"/>
      <c r="DB1" s="200"/>
      <c r="DC1" s="200"/>
      <c r="DD1" s="200"/>
      <c r="DE1" s="200"/>
      <c r="DF1" s="200"/>
      <c r="DG1" s="200"/>
      <c r="DH1" s="200"/>
      <c r="DI1" s="200"/>
      <c r="DJ1" s="200"/>
      <c r="DK1" s="200"/>
      <c r="DL1" s="200"/>
      <c r="DM1" s="200"/>
      <c r="DN1" s="200"/>
      <c r="DO1" s="200"/>
      <c r="DP1" s="200"/>
      <c r="DQ1" s="200"/>
      <c r="DR1" s="200"/>
      <c r="DS1" s="200"/>
      <c r="DT1" s="200"/>
      <c r="DU1" s="200"/>
      <c r="DV1" s="200"/>
      <c r="DW1" s="200"/>
      <c r="DX1" s="200"/>
      <c r="DY1" s="200"/>
      <c r="DZ1" s="200"/>
      <c r="EA1" s="200"/>
    </row>
    <row r="2" spans="1:131" s="199" customFormat="1" ht="15.6" x14ac:dyDescent="0.25">
      <c r="A2" s="152" t="s">
        <v>26</v>
      </c>
      <c r="B2" s="445" t="str">
        <f>'Schedule 3A_Income Statement'!B2</f>
        <v>Tufts Associated Health Plans, Inc. (TAHMO)</v>
      </c>
      <c r="C2" s="446"/>
      <c r="D2" s="446"/>
      <c r="E2" s="446"/>
      <c r="F2" s="447"/>
      <c r="G2" s="473"/>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200"/>
      <c r="DK2" s="200"/>
      <c r="DL2" s="200"/>
      <c r="DM2" s="200"/>
      <c r="DN2" s="200"/>
      <c r="DO2" s="200"/>
      <c r="DP2" s="200"/>
      <c r="DQ2" s="200"/>
      <c r="DR2" s="200"/>
      <c r="DS2" s="200"/>
      <c r="DT2" s="200"/>
      <c r="DU2" s="200"/>
      <c r="DV2" s="200"/>
      <c r="DW2" s="200"/>
      <c r="DX2" s="200"/>
      <c r="DY2" s="200"/>
      <c r="DZ2" s="200"/>
      <c r="EA2" s="200"/>
    </row>
    <row r="3" spans="1:131" s="199" customFormat="1" ht="15.6" x14ac:dyDescent="0.25">
      <c r="A3" s="152" t="s">
        <v>0</v>
      </c>
      <c r="B3" s="580" t="str">
        <f>'Schedule 3A_Income Statement'!B3</f>
        <v>01/01/2024 - 12/31/2024</v>
      </c>
      <c r="C3" s="581"/>
      <c r="D3" s="581"/>
      <c r="E3" s="581"/>
      <c r="F3" s="582"/>
      <c r="G3" s="473"/>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0"/>
      <c r="AM3" s="200"/>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200"/>
      <c r="BZ3" s="200"/>
      <c r="CA3" s="200"/>
      <c r="CB3" s="200"/>
      <c r="CC3" s="200"/>
      <c r="CD3" s="200"/>
      <c r="CE3" s="200"/>
      <c r="CF3" s="200"/>
      <c r="CG3" s="200"/>
      <c r="CH3" s="200"/>
      <c r="CI3" s="200"/>
      <c r="CJ3" s="200"/>
      <c r="CK3" s="200"/>
      <c r="CL3" s="200"/>
      <c r="CM3" s="200"/>
      <c r="CN3" s="200"/>
      <c r="CO3" s="200"/>
      <c r="CP3" s="200"/>
      <c r="CQ3" s="200"/>
      <c r="CR3" s="200"/>
      <c r="CS3" s="200"/>
      <c r="CT3" s="200"/>
      <c r="CU3" s="200"/>
      <c r="CV3" s="200"/>
      <c r="CW3" s="200"/>
      <c r="CX3" s="200"/>
      <c r="CY3" s="200"/>
      <c r="CZ3" s="200"/>
      <c r="DA3" s="200"/>
      <c r="DB3" s="200"/>
      <c r="DC3" s="200"/>
      <c r="DD3" s="200"/>
      <c r="DE3" s="200"/>
      <c r="DF3" s="200"/>
      <c r="DG3" s="200"/>
      <c r="DH3" s="200"/>
      <c r="DI3" s="200"/>
      <c r="DJ3" s="200"/>
      <c r="DK3" s="200"/>
      <c r="DL3" s="200"/>
      <c r="DM3" s="200"/>
      <c r="DN3" s="200"/>
      <c r="DO3" s="200"/>
      <c r="DP3" s="200"/>
      <c r="DQ3" s="200"/>
      <c r="DR3" s="200"/>
      <c r="DS3" s="200"/>
      <c r="DT3" s="200"/>
      <c r="DU3" s="200"/>
      <c r="DV3" s="200"/>
      <c r="DW3" s="200"/>
      <c r="DX3" s="200"/>
      <c r="DY3" s="200"/>
      <c r="DZ3" s="200"/>
      <c r="EA3" s="200"/>
    </row>
    <row r="4" spans="1:131" s="199" customFormat="1" ht="15.6" x14ac:dyDescent="0.25">
      <c r="A4" s="152" t="s">
        <v>27</v>
      </c>
      <c r="B4" s="449">
        <f>'Schedule 3A_Income Statement'!B4</f>
        <v>45657</v>
      </c>
      <c r="C4" s="446"/>
      <c r="D4" s="446"/>
      <c r="E4" s="446"/>
      <c r="F4" s="447"/>
      <c r="G4" s="473"/>
      <c r="H4" s="200"/>
      <c r="I4" s="200"/>
      <c r="J4" s="200"/>
      <c r="K4" s="200"/>
      <c r="L4" s="200"/>
      <c r="M4" s="200"/>
      <c r="N4" s="200"/>
      <c r="O4" s="200"/>
      <c r="P4" s="200"/>
      <c r="Q4" s="200"/>
      <c r="R4" s="200"/>
      <c r="S4" s="200"/>
      <c r="T4" s="200"/>
      <c r="U4" s="200"/>
      <c r="V4" s="200"/>
      <c r="W4" s="200"/>
      <c r="X4" s="200"/>
      <c r="Y4" s="200"/>
      <c r="Z4" s="200"/>
      <c r="AA4" s="200"/>
      <c r="AB4" s="200"/>
      <c r="AC4" s="200"/>
      <c r="AD4" s="200"/>
      <c r="AE4" s="200"/>
      <c r="AF4" s="200"/>
      <c r="AG4" s="200"/>
      <c r="AH4" s="200"/>
      <c r="AI4" s="200"/>
      <c r="AJ4" s="200"/>
      <c r="AK4" s="200"/>
      <c r="AL4" s="200"/>
      <c r="AM4" s="200"/>
      <c r="AN4" s="200"/>
      <c r="AO4" s="200"/>
      <c r="AP4" s="200"/>
      <c r="AQ4" s="200"/>
      <c r="AR4" s="200"/>
      <c r="AS4" s="200"/>
      <c r="AT4" s="200"/>
      <c r="AU4" s="200"/>
      <c r="AV4" s="200"/>
      <c r="AW4" s="200"/>
      <c r="AX4" s="200"/>
      <c r="AY4" s="200"/>
      <c r="AZ4" s="200"/>
      <c r="BA4" s="200"/>
      <c r="BB4" s="200"/>
      <c r="BC4" s="200"/>
      <c r="BD4" s="200"/>
      <c r="BE4" s="200"/>
      <c r="BF4" s="200"/>
      <c r="BG4" s="200"/>
      <c r="BH4" s="200"/>
      <c r="BI4" s="200"/>
      <c r="BJ4" s="200"/>
      <c r="BK4" s="200"/>
      <c r="BL4" s="200"/>
      <c r="BM4" s="200"/>
      <c r="BN4" s="200"/>
      <c r="BO4" s="200"/>
      <c r="BP4" s="200"/>
      <c r="BQ4" s="200"/>
      <c r="BR4" s="200"/>
      <c r="BS4" s="200"/>
      <c r="BT4" s="200"/>
      <c r="BU4" s="200"/>
      <c r="BV4" s="200"/>
      <c r="BW4" s="200"/>
      <c r="BX4" s="200"/>
      <c r="BY4" s="200"/>
      <c r="BZ4" s="200"/>
      <c r="CA4" s="200"/>
      <c r="CB4" s="200"/>
      <c r="CC4" s="200"/>
      <c r="CD4" s="200"/>
      <c r="CE4" s="200"/>
      <c r="CF4" s="200"/>
      <c r="CG4" s="200"/>
      <c r="CH4" s="200"/>
      <c r="CI4" s="200"/>
      <c r="CJ4" s="200"/>
      <c r="CK4" s="200"/>
      <c r="CL4" s="200"/>
      <c r="CM4" s="200"/>
      <c r="CN4" s="200"/>
      <c r="CO4" s="200"/>
      <c r="CP4" s="200"/>
      <c r="CQ4" s="200"/>
      <c r="CR4" s="200"/>
      <c r="CS4" s="200"/>
      <c r="CT4" s="200"/>
      <c r="CU4" s="200"/>
      <c r="CV4" s="200"/>
      <c r="CW4" s="200"/>
      <c r="CX4" s="200"/>
      <c r="CY4" s="200"/>
      <c r="CZ4" s="200"/>
      <c r="DA4" s="200"/>
      <c r="DB4" s="200"/>
      <c r="DC4" s="200"/>
      <c r="DD4" s="200"/>
      <c r="DE4" s="200"/>
      <c r="DF4" s="200"/>
      <c r="DG4" s="200"/>
      <c r="DH4" s="200"/>
      <c r="DI4" s="200"/>
      <c r="DJ4" s="200"/>
      <c r="DK4" s="200"/>
      <c r="DL4" s="200"/>
      <c r="DM4" s="200"/>
      <c r="DN4" s="200"/>
      <c r="DO4" s="200"/>
      <c r="DP4" s="200"/>
      <c r="DQ4" s="200"/>
      <c r="DR4" s="200"/>
      <c r="DS4" s="200"/>
      <c r="DT4" s="200"/>
      <c r="DU4" s="200"/>
      <c r="DV4" s="200"/>
      <c r="DW4" s="200"/>
      <c r="DX4" s="200"/>
      <c r="DY4" s="200"/>
      <c r="DZ4" s="200"/>
      <c r="EA4" s="200"/>
    </row>
    <row r="5" spans="1:131" s="199" customFormat="1" ht="15.6" x14ac:dyDescent="0.25">
      <c r="A5" s="152" t="s">
        <v>28</v>
      </c>
      <c r="B5" s="445" t="str">
        <f>'Schedule 3A_Income Statement'!B5</f>
        <v>Roshni Parikh</v>
      </c>
      <c r="C5" s="446"/>
      <c r="D5" s="446"/>
      <c r="E5" s="446"/>
      <c r="F5" s="447"/>
      <c r="G5" s="473"/>
      <c r="H5" s="200"/>
      <c r="I5" s="200"/>
      <c r="J5" s="200"/>
      <c r="K5" s="200"/>
      <c r="L5" s="200"/>
      <c r="M5" s="200"/>
      <c r="N5" s="200"/>
      <c r="O5" s="200"/>
      <c r="P5" s="200"/>
      <c r="Q5" s="200"/>
      <c r="R5" s="200"/>
      <c r="S5" s="200"/>
      <c r="T5" s="200"/>
      <c r="U5" s="200"/>
      <c r="V5" s="200"/>
      <c r="W5" s="200"/>
      <c r="X5" s="200"/>
      <c r="Y5" s="200"/>
      <c r="Z5" s="200"/>
      <c r="AA5" s="200"/>
      <c r="AB5" s="200"/>
      <c r="AC5" s="200"/>
      <c r="AD5" s="200"/>
      <c r="AE5" s="200"/>
      <c r="AF5" s="200"/>
      <c r="AG5" s="200"/>
      <c r="AH5" s="200"/>
      <c r="AI5" s="200"/>
      <c r="AJ5" s="200"/>
      <c r="AK5" s="200"/>
      <c r="AL5" s="200"/>
      <c r="AM5" s="200"/>
      <c r="AN5" s="200"/>
      <c r="AO5" s="200"/>
      <c r="AP5" s="200"/>
      <c r="AQ5" s="200"/>
      <c r="AR5" s="200"/>
      <c r="AS5" s="200"/>
      <c r="AT5" s="200"/>
      <c r="AU5" s="200"/>
      <c r="AV5" s="200"/>
      <c r="AW5" s="200"/>
      <c r="AX5" s="200"/>
      <c r="AY5" s="200"/>
      <c r="AZ5" s="200"/>
      <c r="BA5" s="200"/>
      <c r="BB5" s="200"/>
      <c r="BC5" s="200"/>
      <c r="BD5" s="200"/>
      <c r="BE5" s="200"/>
      <c r="BF5" s="200"/>
      <c r="BG5" s="200"/>
      <c r="BH5" s="200"/>
      <c r="BI5" s="200"/>
      <c r="BJ5" s="200"/>
      <c r="BK5" s="200"/>
      <c r="BL5" s="200"/>
      <c r="BM5" s="200"/>
      <c r="BN5" s="200"/>
      <c r="BO5" s="200"/>
      <c r="BP5" s="200"/>
      <c r="BQ5" s="200"/>
      <c r="BR5" s="200"/>
      <c r="BS5" s="200"/>
      <c r="BT5" s="200"/>
      <c r="BU5" s="200"/>
      <c r="BV5" s="200"/>
      <c r="BW5" s="200"/>
      <c r="BX5" s="200"/>
      <c r="BY5" s="200"/>
      <c r="BZ5" s="200"/>
      <c r="CA5" s="200"/>
      <c r="CB5" s="200"/>
      <c r="CC5" s="200"/>
      <c r="CD5" s="200"/>
      <c r="CE5" s="200"/>
      <c r="CF5" s="200"/>
      <c r="CG5" s="200"/>
      <c r="CH5" s="200"/>
      <c r="CI5" s="200"/>
      <c r="CJ5" s="200"/>
      <c r="CK5" s="200"/>
      <c r="CL5" s="200"/>
      <c r="CM5" s="200"/>
      <c r="CN5" s="200"/>
      <c r="CO5" s="200"/>
      <c r="CP5" s="200"/>
      <c r="CQ5" s="200"/>
      <c r="CR5" s="200"/>
      <c r="CS5" s="200"/>
      <c r="CT5" s="200"/>
      <c r="CU5" s="200"/>
      <c r="CV5" s="200"/>
      <c r="CW5" s="200"/>
      <c r="CX5" s="200"/>
      <c r="CY5" s="200"/>
      <c r="CZ5" s="200"/>
      <c r="DA5" s="200"/>
      <c r="DB5" s="200"/>
      <c r="DC5" s="200"/>
      <c r="DD5" s="200"/>
      <c r="DE5" s="200"/>
      <c r="DF5" s="200"/>
      <c r="DG5" s="200"/>
      <c r="DH5" s="200"/>
      <c r="DI5" s="200"/>
      <c r="DJ5" s="200"/>
      <c r="DK5" s="200"/>
      <c r="DL5" s="200"/>
      <c r="DM5" s="200"/>
      <c r="DN5" s="200"/>
      <c r="DO5" s="200"/>
      <c r="DP5" s="200"/>
      <c r="DQ5" s="200"/>
      <c r="DR5" s="200"/>
      <c r="DS5" s="200"/>
      <c r="DT5" s="200"/>
      <c r="DU5" s="200"/>
      <c r="DV5" s="200"/>
      <c r="DW5" s="200"/>
      <c r="DX5" s="200"/>
      <c r="DY5" s="200"/>
      <c r="DZ5" s="200"/>
      <c r="EA5" s="200"/>
    </row>
    <row r="6" spans="1:131" s="199" customFormat="1" ht="15.6" x14ac:dyDescent="0.25">
      <c r="A6" s="152" t="s">
        <v>29</v>
      </c>
      <c r="B6" s="449">
        <f>'Schedule 3A_Income Statement'!B6</f>
        <v>45657</v>
      </c>
      <c r="C6" s="446"/>
      <c r="D6" s="446"/>
      <c r="E6" s="446"/>
      <c r="F6" s="447"/>
      <c r="G6" s="473"/>
      <c r="H6" s="200"/>
      <c r="I6" s="200"/>
      <c r="J6" s="200"/>
      <c r="K6" s="200"/>
      <c r="L6" s="200"/>
      <c r="M6" s="200"/>
      <c r="N6" s="200"/>
      <c r="O6" s="200"/>
      <c r="P6" s="200"/>
      <c r="Q6" s="200"/>
      <c r="R6" s="200"/>
      <c r="S6" s="200"/>
      <c r="T6" s="200"/>
      <c r="U6" s="200"/>
      <c r="V6" s="200"/>
      <c r="W6" s="200"/>
      <c r="X6" s="200"/>
      <c r="Y6" s="200"/>
      <c r="Z6" s="200"/>
      <c r="AA6" s="200"/>
      <c r="AB6" s="200"/>
      <c r="AC6" s="200"/>
      <c r="AD6" s="200"/>
      <c r="AE6" s="200"/>
      <c r="AF6" s="200"/>
      <c r="AG6" s="200"/>
      <c r="AH6" s="200"/>
      <c r="AI6" s="200"/>
      <c r="AJ6" s="200"/>
      <c r="AK6" s="200"/>
      <c r="AL6" s="200"/>
      <c r="AM6" s="200"/>
      <c r="AN6" s="200"/>
      <c r="AO6" s="200"/>
      <c r="AP6" s="200"/>
      <c r="AQ6" s="200"/>
      <c r="AR6" s="200"/>
      <c r="AS6" s="200"/>
      <c r="AT6" s="200"/>
      <c r="AU6" s="200"/>
      <c r="AV6" s="200"/>
      <c r="AW6" s="200"/>
      <c r="AX6" s="200"/>
      <c r="AY6" s="200"/>
      <c r="AZ6" s="200"/>
      <c r="BA6" s="200"/>
      <c r="BB6" s="200"/>
      <c r="BC6" s="200"/>
      <c r="BD6" s="200"/>
      <c r="BE6" s="200"/>
      <c r="BF6" s="200"/>
      <c r="BG6" s="200"/>
      <c r="BH6" s="200"/>
      <c r="BI6" s="200"/>
      <c r="BJ6" s="200"/>
      <c r="BK6" s="200"/>
      <c r="BL6" s="200"/>
      <c r="BM6" s="200"/>
      <c r="BN6" s="200"/>
      <c r="BO6" s="200"/>
      <c r="BP6" s="200"/>
      <c r="BQ6" s="200"/>
      <c r="BR6" s="200"/>
      <c r="BS6" s="200"/>
      <c r="BT6" s="200"/>
      <c r="BU6" s="200"/>
      <c r="BV6" s="200"/>
      <c r="BW6" s="200"/>
      <c r="BX6" s="200"/>
      <c r="BY6" s="200"/>
      <c r="BZ6" s="200"/>
      <c r="CA6" s="200"/>
      <c r="CB6" s="200"/>
      <c r="CC6" s="200"/>
      <c r="CD6" s="200"/>
      <c r="CE6" s="200"/>
      <c r="CF6" s="200"/>
      <c r="CG6" s="200"/>
      <c r="CH6" s="200"/>
      <c r="CI6" s="200"/>
      <c r="CJ6" s="200"/>
      <c r="CK6" s="200"/>
      <c r="CL6" s="200"/>
      <c r="CM6" s="200"/>
      <c r="CN6" s="200"/>
      <c r="CO6" s="200"/>
      <c r="CP6" s="200"/>
      <c r="CQ6" s="200"/>
      <c r="CR6" s="200"/>
      <c r="CS6" s="200"/>
      <c r="CT6" s="200"/>
      <c r="CU6" s="200"/>
      <c r="CV6" s="200"/>
      <c r="CW6" s="200"/>
      <c r="CX6" s="200"/>
      <c r="CY6" s="200"/>
      <c r="CZ6" s="200"/>
      <c r="DA6" s="200"/>
      <c r="DB6" s="200"/>
      <c r="DC6" s="200"/>
      <c r="DD6" s="200"/>
      <c r="DE6" s="200"/>
      <c r="DF6" s="200"/>
      <c r="DG6" s="200"/>
      <c r="DH6" s="200"/>
      <c r="DI6" s="200"/>
      <c r="DJ6" s="200"/>
      <c r="DK6" s="200"/>
      <c r="DL6" s="200"/>
      <c r="DM6" s="200"/>
      <c r="DN6" s="200"/>
      <c r="DO6" s="200"/>
      <c r="DP6" s="200"/>
      <c r="DQ6" s="200"/>
      <c r="DR6" s="200"/>
      <c r="DS6" s="200"/>
      <c r="DT6" s="200"/>
      <c r="DU6" s="200"/>
      <c r="DV6" s="200"/>
      <c r="DW6" s="200"/>
      <c r="DX6" s="200"/>
      <c r="DY6" s="200"/>
      <c r="DZ6" s="200"/>
      <c r="EA6" s="200"/>
    </row>
    <row r="7" spans="1:131" s="199" customFormat="1" x14ac:dyDescent="0.25">
      <c r="A7" s="256" t="s">
        <v>543</v>
      </c>
      <c r="B7" s="201"/>
      <c r="G7" s="200"/>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0"/>
      <c r="AL7" s="200"/>
      <c r="AM7" s="200"/>
      <c r="AN7" s="200"/>
      <c r="AO7" s="200"/>
      <c r="AP7" s="200"/>
      <c r="AQ7" s="200"/>
      <c r="AR7" s="200"/>
      <c r="AS7" s="200"/>
      <c r="AT7" s="200"/>
      <c r="AU7" s="200"/>
      <c r="AV7" s="200"/>
      <c r="AW7" s="200"/>
      <c r="AX7" s="200"/>
      <c r="AY7" s="200"/>
      <c r="AZ7" s="200"/>
      <c r="BA7" s="200"/>
      <c r="BB7" s="200"/>
      <c r="BC7" s="200"/>
      <c r="BD7" s="200"/>
      <c r="BE7" s="200"/>
      <c r="BF7" s="200"/>
      <c r="BG7" s="200"/>
      <c r="BH7" s="200"/>
      <c r="BI7" s="200"/>
      <c r="BJ7" s="200"/>
      <c r="BK7" s="200"/>
      <c r="BL7" s="200"/>
      <c r="BM7" s="200"/>
      <c r="BN7" s="200"/>
      <c r="BO7" s="200"/>
      <c r="BP7" s="200"/>
      <c r="BQ7" s="200"/>
      <c r="BR7" s="200"/>
      <c r="BS7" s="200"/>
      <c r="BT7" s="200"/>
      <c r="BU7" s="200"/>
      <c r="BV7" s="200"/>
      <c r="BW7" s="200"/>
      <c r="BX7" s="200"/>
      <c r="BY7" s="200"/>
      <c r="BZ7" s="200"/>
      <c r="CA7" s="200"/>
      <c r="CB7" s="200"/>
      <c r="CC7" s="200"/>
      <c r="CD7" s="200"/>
      <c r="CE7" s="200"/>
      <c r="CF7" s="200"/>
      <c r="CG7" s="200"/>
      <c r="CH7" s="200"/>
      <c r="CI7" s="200"/>
      <c r="CJ7" s="200"/>
      <c r="CK7" s="200"/>
      <c r="CL7" s="200"/>
      <c r="CM7" s="200"/>
      <c r="CN7" s="200"/>
      <c r="CO7" s="200"/>
      <c r="CP7" s="200"/>
      <c r="CQ7" s="200"/>
      <c r="CR7" s="200"/>
      <c r="CS7" s="200"/>
      <c r="CT7" s="200"/>
      <c r="CU7" s="200"/>
      <c r="CV7" s="200"/>
      <c r="CW7" s="200"/>
      <c r="CX7" s="200"/>
      <c r="CY7" s="200"/>
      <c r="CZ7" s="200"/>
      <c r="DA7" s="200"/>
      <c r="DB7" s="200"/>
      <c r="DC7" s="200"/>
      <c r="DD7" s="200"/>
      <c r="DE7" s="200"/>
      <c r="DF7" s="200"/>
      <c r="DG7" s="200"/>
      <c r="DH7" s="200"/>
      <c r="DI7" s="200"/>
      <c r="DJ7" s="200"/>
      <c r="DK7" s="200"/>
      <c r="DL7" s="200"/>
      <c r="DM7" s="200"/>
      <c r="DN7" s="200"/>
      <c r="DO7" s="200"/>
      <c r="DP7" s="200"/>
      <c r="DQ7" s="200"/>
      <c r="DR7" s="200"/>
      <c r="DS7" s="200"/>
      <c r="DT7" s="200"/>
      <c r="DU7" s="200"/>
      <c r="DV7" s="200"/>
      <c r="DW7" s="200"/>
      <c r="DX7" s="200"/>
      <c r="DY7" s="200"/>
      <c r="DZ7" s="200"/>
      <c r="EA7" s="200"/>
    </row>
    <row r="8" spans="1:131" s="199" customFormat="1" x14ac:dyDescent="0.25">
      <c r="A8" s="256"/>
      <c r="B8" s="201"/>
      <c r="G8" s="200"/>
      <c r="H8" s="200"/>
      <c r="I8" s="200"/>
      <c r="J8" s="200"/>
      <c r="K8" s="200"/>
      <c r="L8" s="200"/>
      <c r="M8" s="200"/>
      <c r="N8" s="200"/>
      <c r="O8" s="200"/>
      <c r="P8" s="200"/>
      <c r="Q8" s="200"/>
      <c r="R8" s="200"/>
      <c r="S8" s="200"/>
      <c r="T8" s="200"/>
      <c r="U8" s="200"/>
      <c r="V8" s="387"/>
      <c r="W8" s="200"/>
      <c r="X8" s="200"/>
      <c r="Y8" s="200"/>
      <c r="Z8" s="200"/>
      <c r="AA8" s="200"/>
      <c r="AB8" s="200"/>
      <c r="AC8" s="200"/>
      <c r="AD8" s="200"/>
      <c r="AE8" s="200"/>
      <c r="AF8" s="200"/>
      <c r="AG8" s="200"/>
      <c r="AH8" s="200"/>
      <c r="AI8" s="200"/>
      <c r="AJ8" s="200"/>
      <c r="AK8" s="200"/>
      <c r="AL8" s="200"/>
      <c r="AM8" s="200"/>
      <c r="AN8" s="200"/>
      <c r="AO8" s="200"/>
      <c r="AP8" s="387"/>
      <c r="AQ8" s="200"/>
      <c r="AR8" s="200"/>
      <c r="AS8" s="200"/>
      <c r="AT8" s="200"/>
      <c r="AU8" s="200"/>
      <c r="AV8" s="200"/>
      <c r="AW8" s="200"/>
      <c r="AX8" s="200"/>
      <c r="AY8" s="200"/>
      <c r="AZ8" s="200"/>
      <c r="BA8" s="200"/>
      <c r="BB8" s="200"/>
      <c r="BC8" s="200"/>
      <c r="BD8" s="200"/>
      <c r="BE8" s="200"/>
      <c r="BF8" s="200"/>
      <c r="BG8" s="200"/>
      <c r="BH8" s="200"/>
      <c r="BI8" s="200"/>
      <c r="BJ8" s="200"/>
      <c r="BK8" s="200"/>
      <c r="BL8" s="200"/>
      <c r="BM8" s="200"/>
      <c r="BN8" s="200"/>
      <c r="BO8" s="200"/>
      <c r="BP8" s="200"/>
      <c r="BQ8" s="200"/>
      <c r="BR8" s="200"/>
      <c r="BS8" s="200"/>
      <c r="BT8" s="200"/>
      <c r="BU8" s="200"/>
      <c r="BV8" s="200"/>
      <c r="BW8" s="200"/>
      <c r="BX8" s="200"/>
      <c r="BY8" s="200"/>
      <c r="BZ8" s="200"/>
      <c r="CA8" s="200"/>
      <c r="CB8" s="200"/>
      <c r="CC8" s="200"/>
      <c r="CD8" s="200"/>
      <c r="CE8" s="200"/>
      <c r="CF8" s="200"/>
      <c r="CG8" s="200"/>
      <c r="CH8" s="200"/>
      <c r="CI8" s="200"/>
      <c r="CJ8" s="200"/>
      <c r="CK8" s="200"/>
      <c r="CL8" s="200"/>
      <c r="CM8" s="200"/>
      <c r="CN8" s="200"/>
      <c r="CO8" s="200"/>
      <c r="CP8" s="200"/>
      <c r="CQ8" s="200"/>
      <c r="CR8" s="200"/>
      <c r="CS8" s="200"/>
      <c r="CT8" s="200"/>
      <c r="CU8" s="200"/>
      <c r="CV8" s="200"/>
      <c r="CW8" s="200"/>
      <c r="CX8" s="200"/>
      <c r="CY8" s="200"/>
      <c r="CZ8" s="200"/>
      <c r="DA8" s="200"/>
      <c r="DB8" s="200"/>
      <c r="DC8" s="200"/>
      <c r="DD8" s="200"/>
      <c r="DE8" s="200"/>
      <c r="DF8" s="200"/>
      <c r="DG8" s="200"/>
      <c r="DH8" s="200"/>
      <c r="DI8" s="200"/>
      <c r="DJ8" s="200"/>
      <c r="DK8" s="200"/>
      <c r="DL8" s="200"/>
      <c r="DM8" s="200"/>
      <c r="DN8" s="200"/>
      <c r="DO8" s="200"/>
      <c r="DP8" s="200"/>
      <c r="DQ8" s="200"/>
      <c r="DR8" s="200"/>
      <c r="DS8" s="200"/>
      <c r="DT8" s="200"/>
      <c r="DU8" s="200"/>
      <c r="DV8" s="200"/>
      <c r="DW8" s="200"/>
      <c r="DX8" s="200"/>
      <c r="DY8" s="200"/>
      <c r="DZ8" s="200"/>
      <c r="EA8" s="200"/>
    </row>
    <row r="9" spans="1:131" s="199" customFormat="1" x14ac:dyDescent="0.25">
      <c r="A9" s="256"/>
      <c r="B9" s="201"/>
      <c r="G9" s="200"/>
      <c r="H9" s="200"/>
      <c r="I9" s="200"/>
      <c r="J9" s="200"/>
      <c r="K9" s="200"/>
      <c r="L9" s="200"/>
      <c r="M9" s="200"/>
      <c r="N9" s="200"/>
      <c r="O9" s="200"/>
      <c r="P9" s="200"/>
      <c r="Q9" s="200"/>
      <c r="R9" s="200"/>
      <c r="S9" s="200"/>
      <c r="T9" s="200"/>
      <c r="U9" s="200"/>
      <c r="V9" s="387"/>
      <c r="W9" s="200"/>
      <c r="X9" s="200"/>
      <c r="Y9" s="200"/>
      <c r="Z9" s="200"/>
      <c r="AA9" s="200"/>
      <c r="AB9" s="200"/>
      <c r="AC9" s="200"/>
      <c r="AD9" s="200"/>
      <c r="AE9" s="200"/>
      <c r="AF9" s="200"/>
      <c r="AG9" s="200"/>
      <c r="AH9" s="200"/>
      <c r="AI9" s="200"/>
      <c r="AJ9" s="200"/>
      <c r="AK9" s="200"/>
      <c r="AL9" s="200"/>
      <c r="AM9" s="200"/>
      <c r="AN9" s="200"/>
      <c r="AO9" s="200"/>
      <c r="AP9" s="387"/>
      <c r="AQ9" s="200"/>
      <c r="AR9" s="200"/>
      <c r="AS9" s="200"/>
      <c r="AT9" s="200"/>
      <c r="AU9" s="200"/>
      <c r="AV9" s="200"/>
      <c r="AW9" s="200"/>
      <c r="AX9" s="200"/>
      <c r="AY9" s="200"/>
      <c r="AZ9" s="200"/>
      <c r="BA9" s="200"/>
      <c r="BB9" s="200"/>
      <c r="BC9" s="200"/>
      <c r="BD9" s="200"/>
      <c r="BE9" s="200"/>
      <c r="BF9" s="200"/>
      <c r="BG9" s="200"/>
      <c r="BH9" s="200"/>
      <c r="BI9" s="200"/>
      <c r="BJ9" s="200"/>
      <c r="BK9" s="200"/>
      <c r="BL9" s="200"/>
      <c r="BM9" s="200"/>
      <c r="BN9" s="200"/>
      <c r="BO9" s="200"/>
      <c r="BP9" s="200"/>
      <c r="BQ9" s="200"/>
      <c r="BR9" s="200"/>
      <c r="BS9" s="200"/>
      <c r="BT9" s="200"/>
      <c r="BU9" s="200"/>
      <c r="BV9" s="200"/>
      <c r="BW9" s="200"/>
      <c r="BX9" s="200"/>
      <c r="BY9" s="200"/>
      <c r="BZ9" s="200"/>
      <c r="CA9" s="200"/>
      <c r="CB9" s="200"/>
      <c r="CC9" s="200"/>
      <c r="CD9" s="200"/>
      <c r="CE9" s="200"/>
      <c r="CF9" s="200"/>
      <c r="CG9" s="200"/>
      <c r="CH9" s="200"/>
      <c r="CI9" s="200"/>
      <c r="CJ9" s="200"/>
      <c r="CK9" s="200"/>
      <c r="CL9" s="200"/>
      <c r="CM9" s="200"/>
      <c r="CN9" s="200"/>
      <c r="CO9" s="200"/>
      <c r="CP9" s="200"/>
      <c r="CQ9" s="200"/>
      <c r="CR9" s="200"/>
      <c r="CS9" s="200"/>
      <c r="CT9" s="200"/>
      <c r="CU9" s="200"/>
      <c r="CV9" s="200"/>
      <c r="CW9" s="200"/>
      <c r="CX9" s="200"/>
      <c r="CY9" s="200"/>
      <c r="CZ9" s="200"/>
      <c r="DA9" s="200"/>
      <c r="DB9" s="200"/>
      <c r="DC9" s="200"/>
      <c r="DD9" s="200"/>
      <c r="DE9" s="200"/>
      <c r="DF9" s="200"/>
      <c r="DG9" s="200"/>
      <c r="DH9" s="200"/>
      <c r="DI9" s="200"/>
      <c r="DJ9" s="200"/>
      <c r="DK9" s="200"/>
      <c r="DL9" s="200"/>
      <c r="DM9" s="200"/>
      <c r="DN9" s="200"/>
      <c r="DO9" s="200"/>
      <c r="DP9" s="200"/>
      <c r="DQ9" s="200"/>
      <c r="DR9" s="200"/>
      <c r="DS9" s="200"/>
      <c r="DT9" s="200"/>
      <c r="DU9" s="200"/>
      <c r="DV9" s="200"/>
      <c r="DW9" s="200"/>
      <c r="DX9" s="200"/>
      <c r="DY9" s="200"/>
      <c r="DZ9" s="200"/>
      <c r="EA9" s="200"/>
    </row>
    <row r="10" spans="1:131" s="199" customFormat="1" ht="15.75" customHeight="1" x14ac:dyDescent="0.25">
      <c r="A10" s="452"/>
      <c r="B10" s="885" t="s">
        <v>269</v>
      </c>
      <c r="C10" s="453" t="s">
        <v>273</v>
      </c>
      <c r="D10" s="454"/>
      <c r="E10" s="454"/>
      <c r="F10" s="454"/>
      <c r="G10" s="454"/>
      <c r="H10" s="454"/>
      <c r="I10" s="454"/>
      <c r="J10" s="454"/>
      <c r="K10" s="454"/>
      <c r="L10" s="454"/>
      <c r="M10" s="454"/>
      <c r="N10" s="454"/>
      <c r="O10" s="454"/>
      <c r="P10" s="454"/>
      <c r="Q10" s="454"/>
      <c r="R10" s="454"/>
      <c r="S10" s="454"/>
      <c r="T10" s="454"/>
      <c r="U10" s="455"/>
      <c r="V10" s="885" t="s">
        <v>269</v>
      </c>
      <c r="W10" s="453" t="s">
        <v>1530</v>
      </c>
      <c r="X10" s="454"/>
      <c r="Y10" s="454"/>
      <c r="Z10" s="454"/>
      <c r="AA10" s="454"/>
      <c r="AB10" s="454"/>
      <c r="AC10" s="454"/>
      <c r="AD10" s="454"/>
      <c r="AE10" s="454"/>
      <c r="AF10" s="454"/>
      <c r="AG10" s="454"/>
      <c r="AH10" s="454"/>
      <c r="AI10" s="454"/>
      <c r="AJ10" s="454"/>
      <c r="AK10" s="454"/>
      <c r="AL10" s="454"/>
      <c r="AM10" s="454"/>
      <c r="AN10" s="454"/>
      <c r="AO10" s="455"/>
      <c r="AP10" s="885" t="s">
        <v>269</v>
      </c>
      <c r="AQ10" s="453" t="s">
        <v>271</v>
      </c>
      <c r="AR10" s="454"/>
      <c r="AS10" s="454"/>
      <c r="AT10" s="454"/>
      <c r="AU10" s="454"/>
      <c r="AV10" s="454"/>
      <c r="AW10" s="454"/>
      <c r="AX10" s="454"/>
      <c r="AY10" s="454"/>
      <c r="AZ10" s="454"/>
      <c r="BA10" s="454"/>
      <c r="BB10" s="454"/>
      <c r="BC10" s="454"/>
      <c r="BD10" s="454"/>
      <c r="BE10" s="454"/>
      <c r="BF10" s="454"/>
      <c r="BG10" s="454"/>
      <c r="BH10" s="454"/>
      <c r="BI10" s="454"/>
      <c r="BJ10" s="885" t="s">
        <v>269</v>
      </c>
      <c r="BK10" s="454" t="s">
        <v>270</v>
      </c>
      <c r="BL10" s="454"/>
      <c r="BM10" s="454"/>
      <c r="BN10" s="454"/>
      <c r="BO10" s="454"/>
      <c r="BP10" s="454"/>
      <c r="BQ10" s="454"/>
      <c r="BR10" s="454"/>
      <c r="BS10" s="454"/>
      <c r="BT10" s="454"/>
      <c r="BU10" s="454"/>
      <c r="BV10" s="454"/>
      <c r="BW10" s="454"/>
      <c r="BX10" s="454"/>
      <c r="BY10" s="454"/>
      <c r="BZ10" s="454"/>
      <c r="CA10" s="454"/>
      <c r="CB10" s="454"/>
      <c r="CC10" s="454"/>
      <c r="CD10" s="885" t="s">
        <v>269</v>
      </c>
      <c r="CE10" s="757"/>
      <c r="CF10" s="758"/>
      <c r="CG10" s="758"/>
      <c r="CH10" s="759"/>
      <c r="CI10" s="890" t="s">
        <v>268</v>
      </c>
      <c r="CJ10" s="757"/>
      <c r="CK10" s="758"/>
      <c r="CL10" s="758"/>
      <c r="CM10" s="759"/>
      <c r="CN10" s="890" t="s">
        <v>268</v>
      </c>
      <c r="CO10" s="757"/>
      <c r="CP10" s="758"/>
      <c r="CQ10" s="758"/>
      <c r="CR10" s="759"/>
      <c r="CS10" s="890" t="s">
        <v>268</v>
      </c>
      <c r="CT10" s="200"/>
      <c r="CU10" s="200"/>
      <c r="CV10" s="200"/>
      <c r="CW10" s="200"/>
      <c r="CX10" s="200"/>
      <c r="CY10" s="200"/>
      <c r="CZ10" s="200"/>
      <c r="DA10" s="200"/>
      <c r="DB10" s="200"/>
      <c r="DC10" s="200"/>
      <c r="DD10" s="200"/>
      <c r="DE10" s="200"/>
      <c r="DF10" s="200"/>
      <c r="DG10" s="200"/>
      <c r="DH10" s="200"/>
      <c r="DI10" s="200"/>
      <c r="DJ10" s="200"/>
      <c r="DK10" s="200"/>
      <c r="DL10" s="200"/>
      <c r="DM10" s="200"/>
      <c r="DN10" s="200"/>
      <c r="DO10" s="200"/>
      <c r="DP10" s="200"/>
      <c r="DQ10" s="200"/>
      <c r="DR10" s="200"/>
      <c r="DS10" s="200"/>
      <c r="DT10" s="200"/>
      <c r="DU10" s="200"/>
      <c r="DV10" s="200"/>
      <c r="DW10" s="200"/>
      <c r="DX10" s="200"/>
      <c r="DY10" s="200"/>
      <c r="DZ10" s="200"/>
      <c r="EA10" s="200"/>
    </row>
    <row r="11" spans="1:131" s="199" customFormat="1" ht="32.1" customHeight="1" x14ac:dyDescent="0.25">
      <c r="A11" s="151" t="s">
        <v>267</v>
      </c>
      <c r="B11" s="885"/>
      <c r="C11" s="453" t="s">
        <v>266</v>
      </c>
      <c r="D11" s="454"/>
      <c r="E11" s="454"/>
      <c r="F11" s="454"/>
      <c r="G11" s="454"/>
      <c r="H11" s="454"/>
      <c r="I11" s="454"/>
      <c r="J11" s="454"/>
      <c r="K11" s="456"/>
      <c r="L11" s="457" t="s">
        <v>265</v>
      </c>
      <c r="M11" s="454"/>
      <c r="N11" s="454"/>
      <c r="O11" s="454"/>
      <c r="P11" s="454"/>
      <c r="Q11" s="454"/>
      <c r="R11" s="454"/>
      <c r="S11" s="454"/>
      <c r="T11" s="454"/>
      <c r="U11" s="886" t="s">
        <v>264</v>
      </c>
      <c r="V11" s="885"/>
      <c r="W11" s="454" t="s">
        <v>266</v>
      </c>
      <c r="X11" s="454"/>
      <c r="Y11" s="454"/>
      <c r="Z11" s="454"/>
      <c r="AA11" s="454"/>
      <c r="AB11" s="454"/>
      <c r="AC11" s="454"/>
      <c r="AD11" s="454"/>
      <c r="AE11" s="456"/>
      <c r="AF11" s="457" t="s">
        <v>265</v>
      </c>
      <c r="AG11" s="454"/>
      <c r="AH11" s="454"/>
      <c r="AI11" s="454"/>
      <c r="AJ11" s="454"/>
      <c r="AK11" s="454"/>
      <c r="AL11" s="454"/>
      <c r="AM11" s="454"/>
      <c r="AN11" s="454"/>
      <c r="AO11" s="886" t="s">
        <v>264</v>
      </c>
      <c r="AP11" s="885"/>
      <c r="AQ11" s="453" t="s">
        <v>266</v>
      </c>
      <c r="AR11" s="454"/>
      <c r="AS11" s="454"/>
      <c r="AT11" s="454"/>
      <c r="AU11" s="454"/>
      <c r="AV11" s="454"/>
      <c r="AW11" s="454"/>
      <c r="AX11" s="454"/>
      <c r="AY11" s="456"/>
      <c r="AZ11" s="457" t="s">
        <v>265</v>
      </c>
      <c r="BA11" s="454"/>
      <c r="BB11" s="454"/>
      <c r="BC11" s="454"/>
      <c r="BD11" s="454"/>
      <c r="BE11" s="454"/>
      <c r="BF11" s="454"/>
      <c r="BG11" s="454"/>
      <c r="BH11" s="454"/>
      <c r="BI11" s="894" t="s">
        <v>264</v>
      </c>
      <c r="BJ11" s="885"/>
      <c r="BK11" s="454" t="s">
        <v>266</v>
      </c>
      <c r="BL11" s="454"/>
      <c r="BM11" s="454"/>
      <c r="BN11" s="454"/>
      <c r="BO11" s="454"/>
      <c r="BP11" s="454"/>
      <c r="BQ11" s="454"/>
      <c r="BR11" s="454"/>
      <c r="BS11" s="456"/>
      <c r="BT11" s="457" t="s">
        <v>265</v>
      </c>
      <c r="BU11" s="454"/>
      <c r="BV11" s="454"/>
      <c r="BW11" s="454"/>
      <c r="BX11" s="454"/>
      <c r="BY11" s="454"/>
      <c r="BZ11" s="454"/>
      <c r="CA11" s="454"/>
      <c r="CB11" s="454"/>
      <c r="CC11" s="894" t="s">
        <v>264</v>
      </c>
      <c r="CD11" s="885"/>
      <c r="CE11" s="756" t="s">
        <v>266</v>
      </c>
      <c r="CF11" s="756"/>
      <c r="CG11" s="756"/>
      <c r="CH11" s="756"/>
      <c r="CI11" s="891"/>
      <c r="CJ11" s="756" t="s">
        <v>265</v>
      </c>
      <c r="CK11" s="756"/>
      <c r="CL11" s="756"/>
      <c r="CM11" s="756"/>
      <c r="CN11" s="891"/>
      <c r="CO11" s="756" t="s">
        <v>1487</v>
      </c>
      <c r="CP11" s="756"/>
      <c r="CQ11" s="756"/>
      <c r="CR11" s="756"/>
      <c r="CS11" s="891"/>
      <c r="CT11" s="200"/>
      <c r="CU11" s="200"/>
      <c r="CV11" s="200"/>
      <c r="CW11" s="200"/>
      <c r="CX11" s="200"/>
      <c r="CY11" s="200"/>
      <c r="CZ11" s="200"/>
      <c r="DA11" s="200"/>
      <c r="DB11" s="200"/>
      <c r="DC11" s="200"/>
      <c r="DD11" s="200"/>
      <c r="DE11" s="200"/>
      <c r="DF11" s="200"/>
      <c r="DG11" s="200"/>
      <c r="DH11" s="200"/>
      <c r="DI11" s="200"/>
      <c r="DJ11" s="200"/>
      <c r="DK11" s="200"/>
      <c r="DL11" s="200"/>
      <c r="DM11" s="200"/>
      <c r="DN11" s="200"/>
      <c r="DO11" s="200"/>
      <c r="DP11" s="200"/>
      <c r="DQ11" s="200"/>
      <c r="DR11" s="200"/>
      <c r="DS11" s="200"/>
      <c r="DT11" s="200"/>
      <c r="DU11" s="200"/>
      <c r="DV11" s="200"/>
      <c r="DW11" s="200"/>
      <c r="DX11" s="200"/>
      <c r="DY11" s="200"/>
      <c r="DZ11" s="200"/>
      <c r="EA11" s="200"/>
    </row>
    <row r="12" spans="1:131" ht="12.75" customHeight="1" x14ac:dyDescent="0.25">
      <c r="A12" s="111" t="s">
        <v>263</v>
      </c>
      <c r="B12" s="885"/>
      <c r="C12" s="194" t="s">
        <v>126</v>
      </c>
      <c r="D12" s="195"/>
      <c r="E12" s="194" t="s">
        <v>127</v>
      </c>
      <c r="F12" s="195"/>
      <c r="G12" s="194" t="s">
        <v>128</v>
      </c>
      <c r="H12" s="195"/>
      <c r="I12" s="194" t="s">
        <v>129</v>
      </c>
      <c r="J12" s="195"/>
      <c r="K12" s="84"/>
      <c r="L12" s="196" t="s">
        <v>126</v>
      </c>
      <c r="M12" s="195"/>
      <c r="N12" s="194" t="s">
        <v>127</v>
      </c>
      <c r="O12" s="195"/>
      <c r="P12" s="194" t="s">
        <v>128</v>
      </c>
      <c r="Q12" s="195"/>
      <c r="R12" s="194" t="s">
        <v>129</v>
      </c>
      <c r="S12" s="195"/>
      <c r="T12" s="459"/>
      <c r="U12" s="887"/>
      <c r="V12" s="885"/>
      <c r="W12" s="197" t="s">
        <v>126</v>
      </c>
      <c r="X12" s="195"/>
      <c r="Y12" s="194" t="s">
        <v>127</v>
      </c>
      <c r="Z12" s="195"/>
      <c r="AA12" s="194" t="s">
        <v>128</v>
      </c>
      <c r="AB12" s="195"/>
      <c r="AC12" s="194" t="s">
        <v>129</v>
      </c>
      <c r="AD12" s="195"/>
      <c r="AE12" s="84"/>
      <c r="AF12" s="196" t="s">
        <v>126</v>
      </c>
      <c r="AG12" s="195"/>
      <c r="AH12" s="194" t="s">
        <v>127</v>
      </c>
      <c r="AI12" s="195"/>
      <c r="AJ12" s="194" t="s">
        <v>128</v>
      </c>
      <c r="AK12" s="195"/>
      <c r="AL12" s="194" t="s">
        <v>129</v>
      </c>
      <c r="AM12" s="195"/>
      <c r="AN12" s="459"/>
      <c r="AO12" s="887"/>
      <c r="AP12" s="885"/>
      <c r="AQ12" s="194" t="s">
        <v>126</v>
      </c>
      <c r="AR12" s="195"/>
      <c r="AS12" s="194" t="s">
        <v>127</v>
      </c>
      <c r="AT12" s="195"/>
      <c r="AU12" s="194" t="s">
        <v>128</v>
      </c>
      <c r="AV12" s="195"/>
      <c r="AW12" s="194" t="s">
        <v>129</v>
      </c>
      <c r="AX12" s="195"/>
      <c r="AY12" s="84"/>
      <c r="AZ12" s="196" t="s">
        <v>126</v>
      </c>
      <c r="BA12" s="195"/>
      <c r="BB12" s="194" t="s">
        <v>127</v>
      </c>
      <c r="BC12" s="195"/>
      <c r="BD12" s="194" t="s">
        <v>128</v>
      </c>
      <c r="BE12" s="195"/>
      <c r="BF12" s="194" t="s">
        <v>129</v>
      </c>
      <c r="BG12" s="195"/>
      <c r="BH12" s="459"/>
      <c r="BI12" s="895"/>
      <c r="BJ12" s="885"/>
      <c r="BK12" s="197" t="s">
        <v>126</v>
      </c>
      <c r="BL12" s="195"/>
      <c r="BM12" s="194" t="s">
        <v>127</v>
      </c>
      <c r="BN12" s="195"/>
      <c r="BO12" s="194" t="s">
        <v>128</v>
      </c>
      <c r="BP12" s="195"/>
      <c r="BQ12" s="194" t="s">
        <v>129</v>
      </c>
      <c r="BR12" s="195"/>
      <c r="BS12" s="84"/>
      <c r="BT12" s="196" t="s">
        <v>126</v>
      </c>
      <c r="BU12" s="195"/>
      <c r="BV12" s="194" t="s">
        <v>127</v>
      </c>
      <c r="BW12" s="195"/>
      <c r="BX12" s="194" t="s">
        <v>128</v>
      </c>
      <c r="BY12" s="195"/>
      <c r="BZ12" s="194" t="s">
        <v>129</v>
      </c>
      <c r="CA12" s="195"/>
      <c r="CB12" s="459"/>
      <c r="CC12" s="895"/>
      <c r="CD12" s="885"/>
      <c r="CE12" s="194" t="s">
        <v>126</v>
      </c>
      <c r="CF12" s="194" t="s">
        <v>127</v>
      </c>
      <c r="CG12" s="194" t="s">
        <v>128</v>
      </c>
      <c r="CH12" s="195" t="s">
        <v>129</v>
      </c>
      <c r="CI12" s="891"/>
      <c r="CJ12" s="194" t="s">
        <v>126</v>
      </c>
      <c r="CK12" s="194" t="s">
        <v>127</v>
      </c>
      <c r="CL12" s="194" t="s">
        <v>128</v>
      </c>
      <c r="CM12" s="195" t="s">
        <v>129</v>
      </c>
      <c r="CN12" s="891"/>
      <c r="CO12" s="194" t="s">
        <v>126</v>
      </c>
      <c r="CP12" s="194" t="s">
        <v>127</v>
      </c>
      <c r="CQ12" s="194" t="s">
        <v>128</v>
      </c>
      <c r="CR12" s="195" t="s">
        <v>129</v>
      </c>
      <c r="CS12" s="891"/>
    </row>
    <row r="13" spans="1:131" s="273" customFormat="1" ht="46.5" customHeight="1" x14ac:dyDescent="0.25">
      <c r="A13" s="458"/>
      <c r="B13" s="885"/>
      <c r="C13" s="699" t="s">
        <v>261</v>
      </c>
      <c r="D13" s="699" t="s">
        <v>260</v>
      </c>
      <c r="E13" s="699" t="s">
        <v>261</v>
      </c>
      <c r="F13" s="699" t="s">
        <v>260</v>
      </c>
      <c r="G13" s="699" t="s">
        <v>261</v>
      </c>
      <c r="H13" s="699" t="s">
        <v>260</v>
      </c>
      <c r="I13" s="699" t="s">
        <v>261</v>
      </c>
      <c r="J13" s="699" t="s">
        <v>260</v>
      </c>
      <c r="K13" s="700" t="s">
        <v>262</v>
      </c>
      <c r="L13" s="701" t="s">
        <v>261</v>
      </c>
      <c r="M13" s="699" t="s">
        <v>260</v>
      </c>
      <c r="N13" s="699" t="s">
        <v>261</v>
      </c>
      <c r="O13" s="699" t="s">
        <v>260</v>
      </c>
      <c r="P13" s="699" t="s">
        <v>261</v>
      </c>
      <c r="Q13" s="699" t="s">
        <v>260</v>
      </c>
      <c r="R13" s="699" t="s">
        <v>261</v>
      </c>
      <c r="S13" s="699" t="s">
        <v>260</v>
      </c>
      <c r="T13" s="699" t="s">
        <v>259</v>
      </c>
      <c r="U13" s="888"/>
      <c r="V13" s="885"/>
      <c r="W13" s="702" t="s">
        <v>261</v>
      </c>
      <c r="X13" s="699" t="s">
        <v>260</v>
      </c>
      <c r="Y13" s="699" t="s">
        <v>261</v>
      </c>
      <c r="Z13" s="699" t="s">
        <v>260</v>
      </c>
      <c r="AA13" s="699" t="s">
        <v>261</v>
      </c>
      <c r="AB13" s="699" t="s">
        <v>260</v>
      </c>
      <c r="AC13" s="699" t="s">
        <v>261</v>
      </c>
      <c r="AD13" s="699" t="s">
        <v>260</v>
      </c>
      <c r="AE13" s="700" t="s">
        <v>262</v>
      </c>
      <c r="AF13" s="701" t="s">
        <v>261</v>
      </c>
      <c r="AG13" s="699" t="s">
        <v>260</v>
      </c>
      <c r="AH13" s="699" t="s">
        <v>261</v>
      </c>
      <c r="AI13" s="699" t="s">
        <v>260</v>
      </c>
      <c r="AJ13" s="699" t="s">
        <v>261</v>
      </c>
      <c r="AK13" s="699" t="s">
        <v>260</v>
      </c>
      <c r="AL13" s="699" t="s">
        <v>261</v>
      </c>
      <c r="AM13" s="699" t="s">
        <v>260</v>
      </c>
      <c r="AN13" s="699" t="s">
        <v>259</v>
      </c>
      <c r="AO13" s="888"/>
      <c r="AP13" s="885"/>
      <c r="AQ13" s="699" t="s">
        <v>261</v>
      </c>
      <c r="AR13" s="699" t="s">
        <v>260</v>
      </c>
      <c r="AS13" s="699" t="s">
        <v>261</v>
      </c>
      <c r="AT13" s="699" t="s">
        <v>260</v>
      </c>
      <c r="AU13" s="699" t="s">
        <v>261</v>
      </c>
      <c r="AV13" s="699" t="s">
        <v>260</v>
      </c>
      <c r="AW13" s="699" t="s">
        <v>261</v>
      </c>
      <c r="AX13" s="699" t="s">
        <v>260</v>
      </c>
      <c r="AY13" s="700" t="s">
        <v>262</v>
      </c>
      <c r="AZ13" s="701" t="s">
        <v>261</v>
      </c>
      <c r="BA13" s="699" t="s">
        <v>260</v>
      </c>
      <c r="BB13" s="699" t="s">
        <v>261</v>
      </c>
      <c r="BC13" s="699" t="s">
        <v>260</v>
      </c>
      <c r="BD13" s="699" t="s">
        <v>261</v>
      </c>
      <c r="BE13" s="699" t="s">
        <v>260</v>
      </c>
      <c r="BF13" s="699" t="s">
        <v>261</v>
      </c>
      <c r="BG13" s="699" t="s">
        <v>260</v>
      </c>
      <c r="BH13" s="699" t="s">
        <v>259</v>
      </c>
      <c r="BI13" s="896"/>
      <c r="BJ13" s="885"/>
      <c r="BK13" s="702" t="s">
        <v>261</v>
      </c>
      <c r="BL13" s="699" t="s">
        <v>260</v>
      </c>
      <c r="BM13" s="699" t="s">
        <v>261</v>
      </c>
      <c r="BN13" s="699" t="s">
        <v>260</v>
      </c>
      <c r="BO13" s="699" t="s">
        <v>261</v>
      </c>
      <c r="BP13" s="699" t="s">
        <v>260</v>
      </c>
      <c r="BQ13" s="699" t="s">
        <v>261</v>
      </c>
      <c r="BR13" s="699" t="s">
        <v>260</v>
      </c>
      <c r="BS13" s="700" t="s">
        <v>262</v>
      </c>
      <c r="BT13" s="701" t="s">
        <v>261</v>
      </c>
      <c r="BU13" s="699" t="s">
        <v>260</v>
      </c>
      <c r="BV13" s="699" t="s">
        <v>261</v>
      </c>
      <c r="BW13" s="699" t="s">
        <v>260</v>
      </c>
      <c r="BX13" s="699" t="s">
        <v>261</v>
      </c>
      <c r="BY13" s="699" t="s">
        <v>260</v>
      </c>
      <c r="BZ13" s="699" t="s">
        <v>261</v>
      </c>
      <c r="CA13" s="699" t="s">
        <v>260</v>
      </c>
      <c r="CB13" s="699" t="s">
        <v>259</v>
      </c>
      <c r="CC13" s="896"/>
      <c r="CD13" s="885"/>
      <c r="CE13" s="703" t="s">
        <v>205</v>
      </c>
      <c r="CF13" s="703" t="s">
        <v>205</v>
      </c>
      <c r="CG13" s="703" t="s">
        <v>205</v>
      </c>
      <c r="CH13" s="703" t="s">
        <v>205</v>
      </c>
      <c r="CI13" s="892"/>
      <c r="CJ13" s="703" t="s">
        <v>205</v>
      </c>
      <c r="CK13" s="703" t="s">
        <v>205</v>
      </c>
      <c r="CL13" s="703" t="s">
        <v>205</v>
      </c>
      <c r="CM13" s="703" t="s">
        <v>205</v>
      </c>
      <c r="CN13" s="892"/>
      <c r="CO13" s="703" t="s">
        <v>205</v>
      </c>
      <c r="CP13" s="703" t="s">
        <v>205</v>
      </c>
      <c r="CQ13" s="703" t="s">
        <v>205</v>
      </c>
      <c r="CR13" s="703" t="s">
        <v>205</v>
      </c>
      <c r="CS13" s="892"/>
      <c r="CT13" s="422"/>
      <c r="CU13" s="422"/>
      <c r="CV13" s="422"/>
      <c r="CW13" s="422"/>
      <c r="CX13" s="422"/>
      <c r="CY13" s="422"/>
      <c r="CZ13" s="422"/>
      <c r="DA13" s="422"/>
      <c r="DB13" s="422"/>
      <c r="DC13" s="422"/>
      <c r="DD13" s="422"/>
      <c r="DE13" s="422"/>
      <c r="DF13" s="422"/>
      <c r="DG13" s="422"/>
      <c r="DH13" s="422"/>
      <c r="DI13" s="422"/>
      <c r="DJ13" s="422"/>
      <c r="DK13" s="422"/>
      <c r="DL13" s="422"/>
      <c r="DM13" s="422"/>
      <c r="DN13" s="422"/>
      <c r="DO13" s="422"/>
      <c r="DP13" s="422"/>
      <c r="DQ13" s="422"/>
      <c r="DR13" s="422"/>
      <c r="DS13" s="422"/>
      <c r="DT13" s="422"/>
      <c r="DU13" s="422"/>
      <c r="DV13" s="422"/>
      <c r="DW13" s="422"/>
      <c r="DX13" s="422"/>
      <c r="DY13" s="422"/>
      <c r="DZ13" s="422"/>
      <c r="EA13" s="422"/>
    </row>
    <row r="14" spans="1:131" ht="15.75" customHeight="1" x14ac:dyDescent="0.25">
      <c r="A14" s="19" t="s">
        <v>199</v>
      </c>
      <c r="B14" s="153"/>
      <c r="C14" s="748">
        <f>INDEX('Schedule 1_Enrollment'!$D$12:$K$35,MATCH(C12,'Schedule 1_Enrollment'!$B$10:$B$31,0)+1,MATCH(C10,'Schedule 1_Enrollment'!$D$10:$K$10,0)+IF(C13="Dual Eligible",1,0))</f>
        <v>55</v>
      </c>
      <c r="D14" s="748">
        <f>INDEX('Schedule 1_Enrollment'!$D$12:$K$35,MATCH(C12,'Schedule 1_Enrollment'!$B$10:$B$31,0)+1,MATCH(C10,'Schedule 1_Enrollment'!$D$10:$K$10,0)+IF(D13="Dual Eligible",1,0))</f>
        <v>430.03628780128054</v>
      </c>
      <c r="E14" s="748">
        <f>INDEX('Schedule 1_Enrollment'!$D$12:$K$35,MATCH(E12,'Schedule 1_Enrollment'!$B$10:$B$31,0)+1,MATCH(C10,'Schedule 1_Enrollment'!$D$10:$K$10,0)+IF(E13="Dual Eligible",1,0))</f>
        <v>96</v>
      </c>
      <c r="F14" s="748">
        <f>INDEX('Schedule 1_Enrollment'!$D$12:$K$35,MATCH(E12,'Schedule 1_Enrollment'!$B$10:$B$31,0)+1,MATCH(C10,'Schedule 1_Enrollment'!$D$10:$K$10,0)+IF(F13="Dual Eligible",1,0))</f>
        <v>621</v>
      </c>
      <c r="G14" s="748">
        <f>INDEX('Schedule 1_Enrollment'!$D$12:$K$35,MATCH(G12,'Schedule 1_Enrollment'!$B$10:$B$31,0)+1,MATCH(C10,'Schedule 1_Enrollment'!$D$10:$K$10,0)+IF(G13="Dual Eligible",1,0))</f>
        <v>109</v>
      </c>
      <c r="H14" s="748">
        <f>INDEX('Schedule 1_Enrollment'!$D$12:$K$35,MATCH(G12,'Schedule 1_Enrollment'!$B$10:$B$31,0)+1,MATCH(C10,'Schedule 1_Enrollment'!$D$10:$K$10,0)+IF(H13="Dual Eligible",1,0))</f>
        <v>644</v>
      </c>
      <c r="I14" s="748">
        <f>INDEX('Schedule 1_Enrollment'!$D$12:$K$35,MATCH(I12,'Schedule 1_Enrollment'!$B$10:$B$31,0)+1,MATCH(C10,'Schedule 1_Enrollment'!$D$10:$K$10,0)+IF(I13="Dual Eligible",1,0))</f>
        <v>91</v>
      </c>
      <c r="J14" s="748">
        <f>INDEX('Schedule 1_Enrollment'!$D$12:$K$35,MATCH(I12,'Schedule 1_Enrollment'!$B$10:$B$31,0)+1,MATCH(C10,'Schedule 1_Enrollment'!$D$10:$K$10,0)+IF(J13="Dual Eligible",1,0))</f>
        <v>632</v>
      </c>
      <c r="K14" s="751">
        <f>SUM(C14:J14)</f>
        <v>2678.0362878012807</v>
      </c>
      <c r="L14" s="750">
        <f>INDEX('Schedule 1_Enrollment'!$D$12:$K$35,MATCH(L12,'Schedule 1_Enrollment'!$B$10:$B$31,0)+1,MATCH(C10,'Schedule 1_Enrollment'!$D$10:$K$10,0)+IF(L13="Dual Eligible",1,0))</f>
        <v>55</v>
      </c>
      <c r="M14" s="748">
        <f>INDEX('Schedule 1_Enrollment'!$D$12:$K$35,MATCH(L12,'Schedule 1_Enrollment'!$B$10:$B$31,0)+1,MATCH(C10,'Schedule 1_Enrollment'!$D$10:$K$10,0)+IF(M13="Dual Eligible",1,0))</f>
        <v>430.03628780128054</v>
      </c>
      <c r="N14" s="748">
        <f>INDEX('Schedule 1_Enrollment'!$D$12:$K$35,MATCH(N12,'Schedule 1_Enrollment'!$B$10:$B$31,0)+1,MATCH(C10,'Schedule 1_Enrollment'!$D$10:$K$10,0)+IF(N13="Dual Eligible",1,0))</f>
        <v>96</v>
      </c>
      <c r="O14" s="748">
        <f>INDEX('Schedule 1_Enrollment'!$D$12:$K$35,MATCH(N12,'Schedule 1_Enrollment'!$B$10:$B$31,0)+1,MATCH(C10,'Schedule 1_Enrollment'!$D$10:$K$10,0)+IF(O13="Dual Eligible",1,0))</f>
        <v>621</v>
      </c>
      <c r="P14" s="748">
        <f>INDEX('Schedule 1_Enrollment'!$D$12:$K$35,MATCH(P12,'Schedule 1_Enrollment'!$B$10:$B$31,0)+1,MATCH(C10,'Schedule 1_Enrollment'!$D$10:$K$10,0)+IF(P13="Dual Eligible",1,0))</f>
        <v>109</v>
      </c>
      <c r="Q14" s="748">
        <f>INDEX('Schedule 1_Enrollment'!$D$12:$K$35,MATCH(P12,'Schedule 1_Enrollment'!$B$10:$B$31,0)+1,MATCH(C10,'Schedule 1_Enrollment'!$D$10:$K$10,0)+IF(Q13="Dual Eligible",1,0))</f>
        <v>644</v>
      </c>
      <c r="R14" s="748">
        <f>INDEX('Schedule 1_Enrollment'!$D$12:$K$35,MATCH(R12,'Schedule 1_Enrollment'!$B$10:$B$31,0)+1,MATCH(C10,'Schedule 1_Enrollment'!$D$10:$K$10,0)+IF(R13="Dual Eligible",1,0))</f>
        <v>91</v>
      </c>
      <c r="S14" s="748">
        <f>INDEX('Schedule 1_Enrollment'!$D$12:$K$35,MATCH(R12,'Schedule 1_Enrollment'!$B$10:$B$31,0)+1,MATCH(C10,'Schedule 1_Enrollment'!$D$10:$K$10,0)+IF(S13="Dual Eligible",1,0))</f>
        <v>632</v>
      </c>
      <c r="T14" s="751">
        <f>SUM(L14:S14)</f>
        <v>2678.0362878012807</v>
      </c>
      <c r="U14" s="748">
        <f>T14</f>
        <v>2678.0362878012807</v>
      </c>
      <c r="V14" s="153"/>
      <c r="W14" s="748">
        <f>INDEX('Schedule 1_Enrollment'!$D$12:$K$35,MATCH(W12,'Schedule 1_Enrollment'!$B$10:$B$31,0)+1,MATCH(W10,'Schedule 1_Enrollment'!$D$10:$K$10,0)+IF(W13="Dual Eligible",1,0))</f>
        <v>0</v>
      </c>
      <c r="X14" s="748">
        <f>INDEX('Schedule 1_Enrollment'!$D$12:$K$35,MATCH(W12,'Schedule 1_Enrollment'!$B$10:$B$31,0)+1,MATCH(W10,'Schedule 1_Enrollment'!$D$10:$K$10,0)+IF(X13="Dual Eligible",1,0))</f>
        <v>124</v>
      </c>
      <c r="Y14" s="748">
        <f>INDEX('Schedule 1_Enrollment'!$D$12:$K$35,MATCH(Y12,'Schedule 1_Enrollment'!$B$10:$B$31,0)+1,MATCH(W10,'Schedule 1_Enrollment'!$D$10:$K$10,0)+IF(Y13="Dual Eligible",1,0))</f>
        <v>2</v>
      </c>
      <c r="Z14" s="748">
        <f>INDEX('Schedule 1_Enrollment'!$D$12:$K$35,MATCH(Y12,'Schedule 1_Enrollment'!$B$10:$B$31,0)+1,MATCH(W10,'Schedule 1_Enrollment'!$D$10:$K$10,0)+IF(Z13="Dual Eligible",1,0))</f>
        <v>87</v>
      </c>
      <c r="AA14" s="748">
        <f>INDEX('Schedule 1_Enrollment'!$D$12:$K$35,MATCH(AA12,'Schedule 1_Enrollment'!$B$10:$B$31,0)+1,MATCH(W10,'Schedule 1_Enrollment'!$D$10:$K$10,0)+IF(AA13="Dual Eligible",1,0))</f>
        <v>8</v>
      </c>
      <c r="AB14" s="748">
        <f>INDEX('Schedule 1_Enrollment'!$D$12:$K$35,MATCH(AA12,'Schedule 1_Enrollment'!$B$10:$B$31,0)+1,MATCH(W10,'Schedule 1_Enrollment'!$D$10:$K$10,0)+IF(AB13="Dual Eligible",1,0))</f>
        <v>91</v>
      </c>
      <c r="AC14" s="748">
        <f>INDEX('Schedule 1_Enrollment'!$D$12:$K$35,MATCH(AC12,'Schedule 1_Enrollment'!$B$10:$B$31,0)+1,MATCH(W10,'Schedule 1_Enrollment'!$D$10:$K$10,0)+IF(AC13="Dual Eligible",1,0))</f>
        <v>9</v>
      </c>
      <c r="AD14" s="748">
        <f>INDEX('Schedule 1_Enrollment'!$D$12:$K$35,MATCH(AC12,'Schedule 1_Enrollment'!$B$10:$B$31,0)+1,MATCH(W10,'Schedule 1_Enrollment'!$D$10:$K$10,0)+IF(AD13="Dual Eligible",1,0))</f>
        <v>94</v>
      </c>
      <c r="AE14" s="751">
        <f>SUM(W14:AD14)</f>
        <v>415</v>
      </c>
      <c r="AF14" s="750">
        <f>INDEX('Schedule 1_Enrollment'!$D$12:$K$35,MATCH(AF12,'Schedule 1_Enrollment'!$B$10:$B$31,0)+1,MATCH(W10,'Schedule 1_Enrollment'!$D$10:$K$10,0)+IF(AF13="Dual Eligible",1,0))</f>
        <v>0</v>
      </c>
      <c r="AG14" s="748">
        <f>INDEX('Schedule 1_Enrollment'!$D$12:$K$35,MATCH(AF12,'Schedule 1_Enrollment'!$B$10:$B$31,0)+1,MATCH(W10,'Schedule 1_Enrollment'!$D$10:$K$10,0)+IF(AG13="Dual Eligible",1,0))</f>
        <v>124</v>
      </c>
      <c r="AH14" s="748">
        <f>INDEX('Schedule 1_Enrollment'!$D$12:$K$35,MATCH(AH12,'Schedule 1_Enrollment'!$B$10:$B$31,0)+1,MATCH(W10,'Schedule 1_Enrollment'!$D$10:$K$10,0)+IF(AH13="Dual Eligible",1,0))</f>
        <v>2</v>
      </c>
      <c r="AI14" s="748">
        <f>INDEX('Schedule 1_Enrollment'!$D$12:$K$35,MATCH(AH12,'Schedule 1_Enrollment'!$B$10:$B$31,0)+1,MATCH(W10,'Schedule 1_Enrollment'!$D$10:$K$10,0)+IF(AI13="Dual Eligible",1,0))</f>
        <v>87</v>
      </c>
      <c r="AJ14" s="748">
        <f>INDEX('Schedule 1_Enrollment'!$D$12:$K$35,MATCH(AJ12,'Schedule 1_Enrollment'!$B$10:$B$31,0)+1,MATCH(W10,'Schedule 1_Enrollment'!$D$10:$K$10,0)+IF(AJ13="Dual Eligible",1,0))</f>
        <v>8</v>
      </c>
      <c r="AK14" s="748">
        <f>INDEX('Schedule 1_Enrollment'!$D$12:$K$35,MATCH(AJ12,'Schedule 1_Enrollment'!$B$10:$B$31,0)+1,MATCH(W10,'Schedule 1_Enrollment'!$D$10:$K$10,0)+IF(AK13="Dual Eligible",1,0))</f>
        <v>91</v>
      </c>
      <c r="AL14" s="748">
        <f>INDEX('Schedule 1_Enrollment'!$D$12:$K$35,MATCH(AL12,'Schedule 1_Enrollment'!$B$10:$B$31,0)+1,MATCH(W10,'Schedule 1_Enrollment'!$D$10:$K$10,0)+IF(AL13="Dual Eligible",1,0))</f>
        <v>9</v>
      </c>
      <c r="AM14" s="748">
        <f>INDEX('Schedule 1_Enrollment'!$D$12:$K$35,MATCH(AL12,'Schedule 1_Enrollment'!$B$10:$B$31,0)+1,MATCH(W10,'Schedule 1_Enrollment'!$D$10:$K$10,0)+IF(AM13="Dual Eligible",1,0))</f>
        <v>94</v>
      </c>
      <c r="AN14" s="751">
        <f>SUM(AF14:AM14)</f>
        <v>415</v>
      </c>
      <c r="AO14" s="748">
        <f>AN14</f>
        <v>415</v>
      </c>
      <c r="AP14" s="153"/>
      <c r="AQ14" s="748">
        <f>INDEX('Schedule 1_Enrollment'!$D$12:$K$35,MATCH(AQ12,'Schedule 1_Enrollment'!$B$10:$B$31,0)+1,MATCH(AQ10,'Schedule 1_Enrollment'!$D$10:$K$10,0)+IF(AQ13="Dual Eligible",1,0))</f>
        <v>298</v>
      </c>
      <c r="AR14" s="748">
        <f>INDEX('Schedule 1_Enrollment'!$D$12:$K$35,MATCH(AQ12,'Schedule 1_Enrollment'!$B$10:$B$31,0)+1,MATCH(AQ10,'Schedule 1_Enrollment'!$D$10:$K$10,0)+IF(AR13="Dual Eligible",1,0))</f>
        <v>1083.3063069723746</v>
      </c>
      <c r="AS14" s="748">
        <f>INDEX('Schedule 1_Enrollment'!$D$12:$K$35,MATCH(AS12,'Schedule 1_Enrollment'!$B$10:$B$31,0)+1,MATCH(AQ10,'Schedule 1_Enrollment'!$D$10:$K$10,0)+IF(AS13="Dual Eligible",1,0))</f>
        <v>287</v>
      </c>
      <c r="AT14" s="748">
        <f>INDEX('Schedule 1_Enrollment'!$D$12:$K$35,MATCH(AS12,'Schedule 1_Enrollment'!$B$10:$B$31,0)+1,MATCH(AQ10,'Schedule 1_Enrollment'!$D$10:$K$10,0)+IF(AT13="Dual Eligible",1,0))</f>
        <v>1033.7356920975371</v>
      </c>
      <c r="AU14" s="748">
        <f>INDEX('Schedule 1_Enrollment'!$D$12:$K$35,MATCH(AU12,'Schedule 1_Enrollment'!$B$10:$B$31,0)+1,MATCH(AQ10,'Schedule 1_Enrollment'!$D$10:$K$10,0)+IF(AU13="Dual Eligible",1,0))</f>
        <v>312.06490137486685</v>
      </c>
      <c r="AV14" s="748">
        <f>INDEX('Schedule 1_Enrollment'!$D$12:$K$35,MATCH(AU12,'Schedule 1_Enrollment'!$B$10:$B$31,0)+1,MATCH(AQ10,'Schedule 1_Enrollment'!$D$10:$K$10,0)+IF(AV13="Dual Eligible",1,0))</f>
        <v>1175.7687490240294</v>
      </c>
      <c r="AW14" s="748">
        <f>INDEX('Schedule 1_Enrollment'!$D$12:$K$35,MATCH(AW12,'Schedule 1_Enrollment'!$B$10:$B$31,0)+1,MATCH(AQ10,'Schedule 1_Enrollment'!$D$10:$K$10,0)+IF(AW13="Dual Eligible",1,0))</f>
        <v>352</v>
      </c>
      <c r="AX14" s="748">
        <f>INDEX('Schedule 1_Enrollment'!$D$12:$K$35,MATCH(AW12,'Schedule 1_Enrollment'!$B$10:$B$31,0)+1,MATCH(AQ10,'Schedule 1_Enrollment'!$D$10:$K$10,0)+IF(AX13="Dual Eligible",1,0))</f>
        <v>1343.5125006427527</v>
      </c>
      <c r="AY14" s="751">
        <f>SUM(AQ14:AX14)</f>
        <v>5885.3881501115611</v>
      </c>
      <c r="AZ14" s="750">
        <f>INDEX('Schedule 1_Enrollment'!$D$12:$K$35,MATCH(AZ12,'Schedule 1_Enrollment'!$B$10:$B$31,0)+1,MATCH(AQ10,'Schedule 1_Enrollment'!$D$10:$K$10,0)+IF(AZ13="Dual Eligible",1,0))</f>
        <v>298</v>
      </c>
      <c r="BA14" s="748">
        <f>INDEX('Schedule 1_Enrollment'!$D$12:$K$35,MATCH(AZ12,'Schedule 1_Enrollment'!$B$10:$B$31,0)+1,MATCH(AQ10,'Schedule 1_Enrollment'!$D$10:$K$10,0)+IF(BA13="Dual Eligible",1,0))</f>
        <v>1083.3063069723746</v>
      </c>
      <c r="BB14" s="748">
        <f>INDEX('Schedule 1_Enrollment'!$D$12:$K$35,MATCH(BB12,'Schedule 1_Enrollment'!$B$10:$B$31,0)+1,MATCH(AQ10,'Schedule 1_Enrollment'!$D$10:$K$10,0)+IF(BB13="Dual Eligible",1,0))</f>
        <v>287</v>
      </c>
      <c r="BC14" s="748">
        <f>INDEX('Schedule 1_Enrollment'!$D$12:$K$35,MATCH(BB12,'Schedule 1_Enrollment'!$B$10:$B$31,0)+1,MATCH(AQ10,'Schedule 1_Enrollment'!$D$10:$K$10,0)+IF(BC13="Dual Eligible",1,0))</f>
        <v>1033.7356920975371</v>
      </c>
      <c r="BD14" s="748">
        <f>INDEX('Schedule 1_Enrollment'!$D$12:$K$35,MATCH(BD12,'Schedule 1_Enrollment'!$B$10:$B$31,0)+1,MATCH(AQ10,'Schedule 1_Enrollment'!$D$10:$K$10,0)+IF(BD13="Dual Eligible",1,0))</f>
        <v>312.06490137486685</v>
      </c>
      <c r="BE14" s="748">
        <f>INDEX('Schedule 1_Enrollment'!$D$12:$K$35,MATCH(BD12,'Schedule 1_Enrollment'!$B$10:$B$31,0)+1,MATCH(AQ10,'Schedule 1_Enrollment'!$D$10:$K$10,0)+IF(BE13="Dual Eligible",1,0))</f>
        <v>1175.7687490240294</v>
      </c>
      <c r="BF14" s="748">
        <f>INDEX('Schedule 1_Enrollment'!$D$12:$K$35,MATCH(BF12,'Schedule 1_Enrollment'!$B$10:$B$31,0)+1,MATCH(AQ10,'Schedule 1_Enrollment'!$D$10:$K$10,0)+IF(BF13="Dual Eligible",1,0))</f>
        <v>352</v>
      </c>
      <c r="BG14" s="748">
        <f>INDEX('Schedule 1_Enrollment'!$D$12:$K$35,MATCH(BF12,'Schedule 1_Enrollment'!$B$10:$B$31,0)+1,MATCH(AQ10,'Schedule 1_Enrollment'!$D$10:$K$10,0)+IF(BG13="Dual Eligible",1,0))</f>
        <v>1343.5125006427527</v>
      </c>
      <c r="BH14" s="751">
        <f>SUM(AZ14:BG14)</f>
        <v>5885.3881501115611</v>
      </c>
      <c r="BI14" s="748">
        <f>BH14</f>
        <v>5885.3881501115611</v>
      </c>
      <c r="BJ14" s="153"/>
      <c r="BK14" s="748">
        <f>INDEX('Schedule 1_Enrollment'!$D$12:$K$35,MATCH(BK12,'Schedule 1_Enrollment'!$B$10:$B$31,0)+1,MATCH(IF(BK10="Institutional (All: Tier 1, Tier 2 and Tier 3)","Institutional (All Tiers)",BK10),'Schedule 1_Enrollment'!$D$10:$K$10,0)+IF(BK13="Dual Eligible",1,0))</f>
        <v>3</v>
      </c>
      <c r="BL14" s="748">
        <f>INDEX('Schedule 1_Enrollment'!$D$12:$K$35,MATCH(BK12,'Schedule 1_Enrollment'!$B$10:$B$31,0)+1,MATCH(IF(BK10="Institutional (All: Tier 1, Tier 2 and Tier 3)","Institutional (All Tiers)",BK10),'Schedule 1_Enrollment'!$D$10:$K$10,0)+IF(BL13="Dual Eligible",1,0))</f>
        <v>52.073671113858971</v>
      </c>
      <c r="BM14" s="748">
        <f>INDEX('Schedule 1_Enrollment'!$D$12:$K$35,MATCH(BM12,'Schedule 1_Enrollment'!$B$10:$B$31,0)+1,MATCH(IF(BK10="Institutional (All: Tier 1, Tier 2 and Tier 3)","Institutional (All Tiers)",BK10),'Schedule 1_Enrollment'!$D$10:$K$10,0)+IF(BM13="Dual Eligible",1,0))</f>
        <v>3</v>
      </c>
      <c r="BN14" s="748">
        <f>INDEX('Schedule 1_Enrollment'!$D$12:$K$35,MATCH(BM12,'Schedule 1_Enrollment'!$B$10:$B$31,0)+1,MATCH(IF(BK10="Institutional (All: Tier 1, Tier 2 and Tier 3)","Institutional (All Tiers)",BK10),'Schedule 1_Enrollment'!$D$10:$K$10,0)+IF(BN13="Dual Eligible",1,0))</f>
        <v>42.963657155266901</v>
      </c>
      <c r="BO14" s="748">
        <f>INDEX('Schedule 1_Enrollment'!$D$12:$K$35,MATCH(BO12,'Schedule 1_Enrollment'!$B$10:$B$31,0)+1,MATCH(IF(BK10="Institutional (All: Tier 1, Tier 2 and Tier 3)","Institutional (All Tiers)",BK10),'Schedule 1_Enrollment'!$D$10:$K$10,0)+IF(BO13="Dual Eligible",1,0))</f>
        <v>2.3256022021661988</v>
      </c>
      <c r="BP14" s="748">
        <f>INDEX('Schedule 1_Enrollment'!$D$12:$K$35,MATCH(BO12,'Schedule 1_Enrollment'!$B$10:$B$31,0)+1,MATCH(IF(BK10="Institutional (All: Tier 1, Tier 2 and Tier 3)","Institutional (All Tiers)",BK10),'Schedule 1_Enrollment'!$D$10:$K$10,0)+IF(BP13="Dual Eligible",1,0))</f>
        <v>47.289423696840352</v>
      </c>
      <c r="BQ14" s="748">
        <f>INDEX('Schedule 1_Enrollment'!$D$12:$K$35,MATCH(BQ12,'Schedule 1_Enrollment'!$B$10:$B$31,0)+1,MATCH(IF(BK10="Institutional (All: Tier 1, Tier 2 and Tier 3)","Institutional (All Tiers)",BK10),'Schedule 1_Enrollment'!$D$10:$K$10,0)+IF(BQ13="Dual Eligible",1,0))</f>
        <v>0</v>
      </c>
      <c r="BR14" s="748">
        <f>INDEX('Schedule 1_Enrollment'!$D$12:$K$35,MATCH(BQ12,'Schedule 1_Enrollment'!$B$10:$B$31,0)+1,MATCH(IF(BK10="Institutional (All: Tier 1, Tier 2 and Tier 3)","Institutional (All Tiers)",BK10),'Schedule 1_Enrollment'!$D$10:$K$10,0)+IF(BR13="Dual Eligible",1,0))</f>
        <v>42.549106445735276</v>
      </c>
      <c r="BS14" s="751">
        <f>SUM(BK14:BR14)</f>
        <v>193.20146061386771</v>
      </c>
      <c r="BT14" s="750">
        <f>INDEX('Schedule 1_Enrollment'!$D$12:$K$35,MATCH(BT12,'Schedule 1_Enrollment'!$B$10:$B$31,0)+1,MATCH(IF(BK10="Institutional (All: Tier 1, Tier 2 and Tier 3)","Institutional (All Tiers)",BK10),'Schedule 1_Enrollment'!$D$10:$K$10,0)+IF(BT13="Dual Eligible",1,0))</f>
        <v>3</v>
      </c>
      <c r="BU14" s="748">
        <f>INDEX('Schedule 1_Enrollment'!$D$12:$K$35,MATCH(BT12,'Schedule 1_Enrollment'!$B$10:$B$31,0)+1,MATCH(IF(BK10="Institutional (All: Tier 1, Tier 2 and Tier 3)","Institutional (All Tiers)",BK10),'Schedule 1_Enrollment'!$D$10:$K$10,0)+IF(BU13="Dual Eligible",1,0))</f>
        <v>52.073671113858971</v>
      </c>
      <c r="BV14" s="748">
        <f>INDEX('Schedule 1_Enrollment'!$D$12:$K$35,MATCH(BV12,'Schedule 1_Enrollment'!$B$10:$B$31,0)+1,MATCH(IF(BK10="Institutional (All: Tier 1, Tier 2 and Tier 3)","Institutional (All Tiers)",BK10),'Schedule 1_Enrollment'!$D$10:$K$10,0)+IF(BV13="Dual Eligible",1,0))</f>
        <v>3</v>
      </c>
      <c r="BW14" s="748">
        <f>INDEX('Schedule 1_Enrollment'!$D$12:$K$35,MATCH(BV12,'Schedule 1_Enrollment'!$B$10:$B$31,0)+1,MATCH(IF(BK10="Institutional (All: Tier 1, Tier 2 and Tier 3)","Institutional (All Tiers)",BK10),'Schedule 1_Enrollment'!$D$10:$K$10,0)+IF(BW13="Dual Eligible",1,0))</f>
        <v>42.963657155266901</v>
      </c>
      <c r="BX14" s="748">
        <f>INDEX('Schedule 1_Enrollment'!$D$12:$K$35,MATCH(BX12,'Schedule 1_Enrollment'!$B$10:$B$31,0)+1,MATCH(IF(BK10="Institutional (All: Tier 1, Tier 2 and Tier 3)","Institutional (All Tiers)",BK10),'Schedule 1_Enrollment'!$D$10:$K$10,0)+IF(BX13="Dual Eligible",1,0))</f>
        <v>2.3256022021661988</v>
      </c>
      <c r="BY14" s="748">
        <f>INDEX('Schedule 1_Enrollment'!$D$12:$K$35,MATCH(BX12,'Schedule 1_Enrollment'!$B$10:$B$31,0)+1,MATCH(IF(BK10="Institutional (All: Tier 1, Tier 2 and Tier 3)","Institutional (All Tiers)",BK10),'Schedule 1_Enrollment'!$D$10:$K$10,0)+IF(BY13="Dual Eligible",1,0))</f>
        <v>47.289423696840352</v>
      </c>
      <c r="BZ14" s="748">
        <f>INDEX('Schedule 1_Enrollment'!$D$12:$K$35,MATCH(BZ12,'Schedule 1_Enrollment'!$B$10:$B$31,0)+1,MATCH(IF(BK10="Institutional (All: Tier 1, Tier 2 and Tier 3)","Institutional (All Tiers)",BK10),'Schedule 1_Enrollment'!$D$10:$K$10,0)+IF(BZ13="Dual Eligible",1,0))</f>
        <v>0</v>
      </c>
      <c r="CA14" s="748">
        <f>INDEX('Schedule 1_Enrollment'!$D$12:$K$35,MATCH(BZ12,'Schedule 1_Enrollment'!$B$10:$B$31,0)+1,MATCH(IF(BK10="Institutional (All: Tier 1, Tier 2 and Tier 3)","Institutional (All Tiers)",BK10),'Schedule 1_Enrollment'!$D$10:$K$10,0)+IF(CA13="Dual Eligible",1,0))</f>
        <v>42.549106445735276</v>
      </c>
      <c r="CB14" s="751">
        <f>SUM(BT14:CA14)</f>
        <v>193.20146061386771</v>
      </c>
      <c r="CC14" s="748">
        <f>CB14</f>
        <v>193.20146061386771</v>
      </c>
      <c r="CD14" s="153"/>
      <c r="CE14" s="748">
        <f>+C14+D14+W14+X14+AQ14+AR14+BK14+BL14</f>
        <v>2045.4162658875141</v>
      </c>
      <c r="CF14" s="748">
        <f>+E14+F14+Y14+Z14+AS14+AT14+BM14+BN14</f>
        <v>2172.699349252804</v>
      </c>
      <c r="CG14" s="748">
        <f>+G14+H14+AA14+AB14+AU14+AV14+BO14+BP14</f>
        <v>2389.4486762979027</v>
      </c>
      <c r="CH14" s="748">
        <f>+I14+J14+AC14+AD14+AW14+AX14+BQ14+BR14</f>
        <v>2564.0616070884876</v>
      </c>
      <c r="CI14" s="749">
        <f>SUM(K14,AE14,AY14,BS14)</f>
        <v>9171.6258985267086</v>
      </c>
      <c r="CJ14" s="748">
        <f>L14+M14+AF14+AG14+AZ14+BA14+BT14+BU14</f>
        <v>2045.4162658875141</v>
      </c>
      <c r="CK14" s="748">
        <f>N14+O14+AH14+AI14+BB14+BC14+BV14+BW14</f>
        <v>2172.699349252804</v>
      </c>
      <c r="CL14" s="748">
        <f>P14+Q14+AJ14+AK14+BD14+BE14+BX14+BY14</f>
        <v>2389.4486762979027</v>
      </c>
      <c r="CM14" s="748">
        <f>+R14+S14+AL14+AM14+BF14+BG14+BZ14+CA14</f>
        <v>2564.0616070884876</v>
      </c>
      <c r="CN14" s="749">
        <f>SUM(T14,AN14,BH14,CB14)</f>
        <v>9171.6258985267086</v>
      </c>
      <c r="CO14" s="748">
        <f>+C14+D14+W14+X14+AQ14+AR14+BK14+BL14</f>
        <v>2045.4162658875141</v>
      </c>
      <c r="CP14" s="748">
        <f>+E14+F14+Y14+Z14+AS14+AT14+BM14+BN14</f>
        <v>2172.699349252804</v>
      </c>
      <c r="CQ14" s="748">
        <f>+G14+H14+AA14+AB14+AU14+AV14+BO14+BP14</f>
        <v>2389.4486762979027</v>
      </c>
      <c r="CR14" s="748">
        <f>+I14+J14+AC14+AD14+AW14+AX14+BQ14+BR14</f>
        <v>2564.0616070884876</v>
      </c>
      <c r="CS14" s="749">
        <f t="shared" ref="CS14" si="0">SUM(CC14,BI14,AO14,U14)</f>
        <v>9171.6258985267086</v>
      </c>
    </row>
    <row r="15" spans="1:131" ht="15.75" customHeight="1" x14ac:dyDescent="0.25">
      <c r="A15" s="19" t="s">
        <v>72</v>
      </c>
      <c r="B15" s="213"/>
      <c r="C15" s="112"/>
      <c r="D15" s="112"/>
      <c r="E15" s="112"/>
      <c r="F15" s="112"/>
      <c r="G15" s="112"/>
      <c r="H15" s="112"/>
      <c r="I15" s="112"/>
      <c r="J15" s="112"/>
      <c r="K15" s="423"/>
      <c r="L15" s="424"/>
      <c r="M15" s="112"/>
      <c r="N15" s="112"/>
      <c r="O15" s="112"/>
      <c r="P15" s="112"/>
      <c r="Q15" s="112"/>
      <c r="R15" s="112"/>
      <c r="S15" s="112"/>
      <c r="T15" s="112"/>
      <c r="U15" s="424"/>
      <c r="V15" s="213"/>
      <c r="W15" s="112"/>
      <c r="X15" s="112"/>
      <c r="Y15" s="112"/>
      <c r="Z15" s="112"/>
      <c r="AA15" s="112"/>
      <c r="AB15" s="112"/>
      <c r="AC15" s="112"/>
      <c r="AD15" s="112"/>
      <c r="AE15" s="423"/>
      <c r="AF15" s="424"/>
      <c r="AG15" s="112"/>
      <c r="AH15" s="112"/>
      <c r="AI15" s="112"/>
      <c r="AJ15" s="112"/>
      <c r="AK15" s="112"/>
      <c r="AL15" s="112"/>
      <c r="AM15" s="112"/>
      <c r="AN15" s="112"/>
      <c r="AO15" s="424"/>
      <c r="AP15" s="213"/>
      <c r="AQ15" s="112"/>
      <c r="AR15" s="112"/>
      <c r="AS15" s="112"/>
      <c r="AT15" s="112"/>
      <c r="AU15" s="112"/>
      <c r="AV15" s="112"/>
      <c r="AW15" s="112"/>
      <c r="AX15" s="112"/>
      <c r="AY15" s="423"/>
      <c r="AZ15" s="424"/>
      <c r="BA15" s="112"/>
      <c r="BB15" s="112"/>
      <c r="BC15" s="112"/>
      <c r="BD15" s="112"/>
      <c r="BE15" s="112"/>
      <c r="BF15" s="112"/>
      <c r="BG15" s="112"/>
      <c r="BH15" s="112"/>
      <c r="BI15" s="424"/>
      <c r="BJ15" s="213"/>
      <c r="BK15" s="112"/>
      <c r="BL15" s="112"/>
      <c r="BM15" s="112"/>
      <c r="BN15" s="112"/>
      <c r="BO15" s="112"/>
      <c r="BP15" s="112"/>
      <c r="BQ15" s="112"/>
      <c r="BR15" s="112"/>
      <c r="BS15" s="423"/>
      <c r="BT15" s="424"/>
      <c r="BU15" s="112"/>
      <c r="BV15" s="112"/>
      <c r="BW15" s="112"/>
      <c r="BX15" s="112"/>
      <c r="BY15" s="112"/>
      <c r="BZ15" s="112"/>
      <c r="CA15" s="112"/>
      <c r="CB15" s="112"/>
      <c r="CC15" s="424"/>
      <c r="CD15" s="213"/>
      <c r="CE15" s="219"/>
      <c r="CF15" s="219"/>
      <c r="CG15" s="219"/>
      <c r="CH15" s="219"/>
      <c r="CI15" s="213"/>
      <c r="CJ15" s="219"/>
      <c r="CK15" s="219"/>
      <c r="CL15" s="219"/>
      <c r="CM15" s="219"/>
      <c r="CN15" s="213"/>
      <c r="CO15" s="219"/>
      <c r="CP15" s="219"/>
      <c r="CQ15" s="219"/>
      <c r="CR15" s="219"/>
      <c r="CS15" s="213"/>
    </row>
    <row r="16" spans="1:131" ht="15.75" customHeight="1" x14ac:dyDescent="0.25">
      <c r="A16" s="148" t="s">
        <v>211</v>
      </c>
      <c r="B16" s="343">
        <v>1</v>
      </c>
      <c r="C16" s="259">
        <v>107196.98</v>
      </c>
      <c r="D16" s="259">
        <v>395989.91000000102</v>
      </c>
      <c r="E16" s="259">
        <v>123959.94</v>
      </c>
      <c r="F16" s="259">
        <v>391627.820000001</v>
      </c>
      <c r="G16" s="259">
        <v>153708.1</v>
      </c>
      <c r="H16" s="259">
        <v>396900.71000000101</v>
      </c>
      <c r="I16" s="259">
        <v>158952.5</v>
      </c>
      <c r="J16" s="259">
        <v>408934.97000000201</v>
      </c>
      <c r="K16" s="460">
        <f t="shared" ref="K16:K23" si="1">SUM(C16:J16)</f>
        <v>2137270.9300000053</v>
      </c>
      <c r="L16" s="461">
        <v>0</v>
      </c>
      <c r="M16" s="259">
        <v>0</v>
      </c>
      <c r="N16" s="259">
        <v>0</v>
      </c>
      <c r="O16" s="259">
        <v>0</v>
      </c>
      <c r="P16" s="259">
        <v>0</v>
      </c>
      <c r="Q16" s="259">
        <v>0</v>
      </c>
      <c r="R16" s="259">
        <v>0</v>
      </c>
      <c r="S16" s="259">
        <v>0</v>
      </c>
      <c r="T16" s="462">
        <f t="shared" ref="T16:T23" si="2">SUM(L16:S16)</f>
        <v>0</v>
      </c>
      <c r="U16" s="463">
        <f t="shared" ref="U16:U23" si="3">SUM(K16,T16)</f>
        <v>2137270.9300000053</v>
      </c>
      <c r="V16" s="343">
        <v>1</v>
      </c>
      <c r="W16" s="259">
        <v>22973.040000000001</v>
      </c>
      <c r="X16" s="259">
        <v>309334.93</v>
      </c>
      <c r="Y16" s="259">
        <v>16913.28</v>
      </c>
      <c r="Z16" s="259">
        <v>303526.65000000002</v>
      </c>
      <c r="AA16" s="259">
        <v>13883.4</v>
      </c>
      <c r="AB16" s="259">
        <v>307483.95</v>
      </c>
      <c r="AC16" s="259">
        <v>28482.78</v>
      </c>
      <c r="AD16" s="259">
        <v>333286.80000000098</v>
      </c>
      <c r="AE16" s="460">
        <f t="shared" ref="AE16:AE23" si="4">SUM(W16:AD16)</f>
        <v>1335884.830000001</v>
      </c>
      <c r="AF16" s="461">
        <v>0</v>
      </c>
      <c r="AG16" s="259">
        <v>0</v>
      </c>
      <c r="AH16" s="259">
        <v>0</v>
      </c>
      <c r="AI16" s="259">
        <v>0</v>
      </c>
      <c r="AJ16" s="259">
        <v>0</v>
      </c>
      <c r="AK16" s="259">
        <v>0</v>
      </c>
      <c r="AL16" s="259">
        <v>0</v>
      </c>
      <c r="AM16" s="259">
        <v>0</v>
      </c>
      <c r="AN16" s="462">
        <f t="shared" ref="AN16:AN23" si="5">SUM(AF16:AM16)</f>
        <v>0</v>
      </c>
      <c r="AO16" s="463">
        <f t="shared" ref="AO16:AO23" si="6">SUM(AE16,AN16)</f>
        <v>1335884.830000001</v>
      </c>
      <c r="AP16" s="343">
        <v>1</v>
      </c>
      <c r="AQ16" s="259">
        <v>2811980.9999999898</v>
      </c>
      <c r="AR16" s="259">
        <v>9013197.8299997803</v>
      </c>
      <c r="AS16" s="259">
        <v>3006867.2899999996</v>
      </c>
      <c r="AT16" s="259">
        <v>9237252.7499997783</v>
      </c>
      <c r="AU16" s="259">
        <v>3128110.87</v>
      </c>
      <c r="AV16" s="259">
        <v>9721650.9999996107</v>
      </c>
      <c r="AW16" s="259">
        <v>3327370.16</v>
      </c>
      <c r="AX16" s="259">
        <v>9980679.3199996017</v>
      </c>
      <c r="AY16" s="460">
        <f t="shared" ref="AY16:AY23" si="7">SUM(AQ16:AX16)</f>
        <v>50227110.219998762</v>
      </c>
      <c r="AZ16" s="461">
        <v>0</v>
      </c>
      <c r="BA16" s="259">
        <v>0</v>
      </c>
      <c r="BB16" s="259">
        <v>0</v>
      </c>
      <c r="BC16" s="259">
        <v>0</v>
      </c>
      <c r="BD16" s="259">
        <v>0</v>
      </c>
      <c r="BE16" s="259">
        <v>0</v>
      </c>
      <c r="BF16" s="259">
        <v>0</v>
      </c>
      <c r="BG16" s="259">
        <v>0</v>
      </c>
      <c r="BH16" s="462">
        <f t="shared" ref="BH16:BH23" si="8">SUM(AZ16:BG16)</f>
        <v>0</v>
      </c>
      <c r="BI16" s="463">
        <f t="shared" ref="BI16:BI23" si="9">SUM(AY16,BH16)</f>
        <v>50227110.219998762</v>
      </c>
      <c r="BJ16" s="343">
        <v>1</v>
      </c>
      <c r="BK16" s="259">
        <v>69405.989999999991</v>
      </c>
      <c r="BL16" s="259">
        <v>1180542.2000000002</v>
      </c>
      <c r="BM16" s="259">
        <v>54451.880000000005</v>
      </c>
      <c r="BN16" s="259">
        <v>1229754.1000000001</v>
      </c>
      <c r="BO16" s="259">
        <v>78123.47</v>
      </c>
      <c r="BP16" s="259">
        <v>1245926.83</v>
      </c>
      <c r="BQ16" s="259">
        <v>88113.18</v>
      </c>
      <c r="BR16" s="259">
        <v>1239144.8900000001</v>
      </c>
      <c r="BS16" s="460">
        <f t="shared" ref="BS16:BS23" si="10">SUM(BK16:BR16)</f>
        <v>5185462.540000001</v>
      </c>
      <c r="BT16" s="461">
        <v>0</v>
      </c>
      <c r="BU16" s="259">
        <v>0</v>
      </c>
      <c r="BV16" s="259">
        <v>0</v>
      </c>
      <c r="BW16" s="259">
        <v>0</v>
      </c>
      <c r="BX16" s="259">
        <v>0</v>
      </c>
      <c r="BY16" s="259">
        <v>0</v>
      </c>
      <c r="BZ16" s="259">
        <v>0</v>
      </c>
      <c r="CA16" s="259">
        <v>0</v>
      </c>
      <c r="CB16" s="462">
        <f t="shared" ref="CB16:CB23" si="11">SUM(BT16:CA16)</f>
        <v>0</v>
      </c>
      <c r="CC16" s="463">
        <f t="shared" ref="CC16:CC23" si="12">SUM(BS16,CB16)</f>
        <v>5185462.540000001</v>
      </c>
      <c r="CD16" s="343">
        <v>1</v>
      </c>
      <c r="CE16" s="462">
        <f>+C16+D16+W16+X16+AQ16+AR16+BK16+BL16</f>
        <v>13910621.879999772</v>
      </c>
      <c r="CF16" s="462">
        <f>+E16+F16+Y16+Z16+AS16+AT16+BM16+BN16</f>
        <v>14364353.709999779</v>
      </c>
      <c r="CG16" s="462">
        <f>+G16+H16+AA16+AB16+AU16+AV16+BO16+BP16</f>
        <v>15045788.329999613</v>
      </c>
      <c r="CH16" s="462">
        <f>+I16+J16+AC16+AD16+AW16+AX16+BQ16+BR16</f>
        <v>15564964.599999605</v>
      </c>
      <c r="CI16" s="464">
        <f>SUM(K16,AE16,AY16,BS16)</f>
        <v>58885728.519998766</v>
      </c>
      <c r="CJ16" s="462">
        <f>L16+M16+AF16+AG16+AZ16+BA16+BT16+BU16</f>
        <v>0</v>
      </c>
      <c r="CK16" s="462">
        <f>N16+O16+AH16+AI16+BB16+BC16+BV16+BW16</f>
        <v>0</v>
      </c>
      <c r="CL16" s="462">
        <f>P16+Q16+AJ16+AK16+BD16+BE16+BX16+BY16</f>
        <v>0</v>
      </c>
      <c r="CM16" s="462">
        <f>+R16+S16+AL16+AM16+BF16+BG16+BZ16+CA16</f>
        <v>0</v>
      </c>
      <c r="CN16" s="464">
        <f>SUM(T16,AN16,BH16,CB16)</f>
        <v>0</v>
      </c>
      <c r="CO16" s="462">
        <f>+C16+D16+L16+M16+W16+X16+AF16+AG16+AQ16+AR16+AZ16+BA16+BK16+BL16+BT16+BU16</f>
        <v>13910621.879999772</v>
      </c>
      <c r="CP16" s="462">
        <f>+E16+F16+N16+O16+Y16+Z16+AH16+AI16+AS16+AT16+BB16+BC16+BM16+BN16+BV16+BW16</f>
        <v>14364353.709999779</v>
      </c>
      <c r="CQ16" s="462">
        <f>+G16+H16+P16+Q16+AA16+AB16+AJ16+AK16+AU16+AV16+BD16+BE16+BO16+BP16+BX16+BY16</f>
        <v>15045788.329999613</v>
      </c>
      <c r="CR16" s="462">
        <f>+I16+J16+R16+S16+AC16+AD16+AL16+AM16+AW16+AX16+BF16+BG16+BQ16+BR16+BZ16+CA16</f>
        <v>15564964.599999605</v>
      </c>
      <c r="CS16" s="464">
        <f t="shared" ref="CS16:CS23" si="13">SUM(CC16,BI16,AO16,U16)</f>
        <v>58885728.519998766</v>
      </c>
      <c r="CT16" s="362"/>
      <c r="CU16" s="362"/>
      <c r="CV16" s="362"/>
      <c r="CW16" s="362"/>
      <c r="CX16" s="362"/>
    </row>
    <row r="17" spans="1:131" ht="15.75" customHeight="1" x14ac:dyDescent="0.25">
      <c r="A17" s="94" t="s">
        <v>233</v>
      </c>
      <c r="B17" s="343"/>
      <c r="C17" s="259"/>
      <c r="D17" s="259"/>
      <c r="E17" s="259"/>
      <c r="F17" s="259"/>
      <c r="G17" s="259"/>
      <c r="H17" s="259"/>
      <c r="I17" s="259"/>
      <c r="J17" s="259"/>
      <c r="K17" s="460">
        <f t="shared" si="1"/>
        <v>0</v>
      </c>
      <c r="L17" s="465">
        <v>0</v>
      </c>
      <c r="M17" s="257">
        <v>1056301.2124000001</v>
      </c>
      <c r="N17" s="257">
        <v>0</v>
      </c>
      <c r="O17" s="257">
        <v>887879.27479999897</v>
      </c>
      <c r="P17" s="257">
        <v>0</v>
      </c>
      <c r="Q17" s="257">
        <v>944805.07380000199</v>
      </c>
      <c r="R17" s="257">
        <v>0</v>
      </c>
      <c r="S17" s="257">
        <v>947221.88120000204</v>
      </c>
      <c r="T17" s="462">
        <f t="shared" si="2"/>
        <v>3836207.4422000027</v>
      </c>
      <c r="U17" s="463">
        <f t="shared" si="3"/>
        <v>3836207.4422000027</v>
      </c>
      <c r="V17" s="343"/>
      <c r="W17" s="259">
        <v>0</v>
      </c>
      <c r="X17" s="259">
        <v>0</v>
      </c>
      <c r="Y17" s="259">
        <v>0</v>
      </c>
      <c r="Z17" s="259">
        <v>0</v>
      </c>
      <c r="AA17" s="259">
        <v>0</v>
      </c>
      <c r="AB17" s="259">
        <v>0</v>
      </c>
      <c r="AC17" s="259">
        <v>0</v>
      </c>
      <c r="AD17" s="259">
        <v>0</v>
      </c>
      <c r="AE17" s="460">
        <f t="shared" si="4"/>
        <v>0</v>
      </c>
      <c r="AF17" s="465">
        <v>0</v>
      </c>
      <c r="AG17" s="257">
        <v>449904.08399999997</v>
      </c>
      <c r="AH17" s="257">
        <v>0</v>
      </c>
      <c r="AI17" s="257">
        <v>398785.28480000002</v>
      </c>
      <c r="AJ17" s="257">
        <v>0</v>
      </c>
      <c r="AK17" s="257">
        <v>441291.64799999999</v>
      </c>
      <c r="AL17" s="257">
        <v>0</v>
      </c>
      <c r="AM17" s="257">
        <v>473856.94020000001</v>
      </c>
      <c r="AN17" s="462">
        <f t="shared" si="5"/>
        <v>1763837.9570000002</v>
      </c>
      <c r="AO17" s="463">
        <f t="shared" si="6"/>
        <v>1763837.9570000002</v>
      </c>
      <c r="AP17" s="343"/>
      <c r="AQ17" s="259">
        <v>0</v>
      </c>
      <c r="AR17" s="259">
        <v>0</v>
      </c>
      <c r="AS17" s="259">
        <v>0</v>
      </c>
      <c r="AT17" s="259">
        <v>0</v>
      </c>
      <c r="AU17" s="259">
        <v>0</v>
      </c>
      <c r="AV17" s="259">
        <v>0</v>
      </c>
      <c r="AW17" s="259">
        <v>0</v>
      </c>
      <c r="AX17" s="259">
        <v>0</v>
      </c>
      <c r="AY17" s="460">
        <f t="shared" si="7"/>
        <v>0</v>
      </c>
      <c r="AZ17" s="465">
        <v>0</v>
      </c>
      <c r="BA17" s="257">
        <v>9736045.3175999802</v>
      </c>
      <c r="BB17" s="257">
        <v>0</v>
      </c>
      <c r="BC17" s="257">
        <v>7487114.0050000194</v>
      </c>
      <c r="BD17" s="257">
        <v>0</v>
      </c>
      <c r="BE17" s="257">
        <v>8471025.9494000394</v>
      </c>
      <c r="BF17" s="257">
        <v>0</v>
      </c>
      <c r="BG17" s="257">
        <v>8384780.4516000496</v>
      </c>
      <c r="BH17" s="462">
        <f t="shared" si="8"/>
        <v>34078965.72360009</v>
      </c>
      <c r="BI17" s="463">
        <f t="shared" si="9"/>
        <v>34078965.72360009</v>
      </c>
      <c r="BJ17" s="343"/>
      <c r="BK17" s="259">
        <v>0</v>
      </c>
      <c r="BL17" s="259">
        <v>0</v>
      </c>
      <c r="BM17" s="259">
        <v>0</v>
      </c>
      <c r="BN17" s="259">
        <v>0</v>
      </c>
      <c r="BO17" s="259">
        <v>0</v>
      </c>
      <c r="BP17" s="259">
        <v>0</v>
      </c>
      <c r="BQ17" s="259">
        <v>0</v>
      </c>
      <c r="BR17" s="259">
        <v>0</v>
      </c>
      <c r="BS17" s="460">
        <f t="shared" si="10"/>
        <v>0</v>
      </c>
      <c r="BT17" s="465">
        <v>0</v>
      </c>
      <c r="BU17" s="257">
        <v>399282.93859999999</v>
      </c>
      <c r="BV17" s="257">
        <v>0</v>
      </c>
      <c r="BW17" s="257">
        <v>354963.89879999997</v>
      </c>
      <c r="BX17" s="257">
        <v>0</v>
      </c>
      <c r="BY17" s="257">
        <v>356654.99660000001</v>
      </c>
      <c r="BZ17" s="257">
        <v>0</v>
      </c>
      <c r="CA17" s="257">
        <v>413497.41720000003</v>
      </c>
      <c r="CB17" s="462">
        <f t="shared" si="11"/>
        <v>1524399.2512000001</v>
      </c>
      <c r="CC17" s="463">
        <f t="shared" si="12"/>
        <v>1524399.2512000001</v>
      </c>
      <c r="CD17" s="343"/>
      <c r="CE17" s="462">
        <f t="shared" ref="CE17:CE23" si="14">+C17+D17+W17+X17+AQ17+AR17+BK17+BL17</f>
        <v>0</v>
      </c>
      <c r="CF17" s="462">
        <f t="shared" ref="CF17:CF23" si="15">+E17+F17+Y17+Z17+AS17+AT17+BM17+BN17</f>
        <v>0</v>
      </c>
      <c r="CG17" s="462">
        <f t="shared" ref="CG17:CG23" si="16">+G17+H17+AA17+AB17+AU17+AV17+BO17+BP17</f>
        <v>0</v>
      </c>
      <c r="CH17" s="462">
        <f t="shared" ref="CH17:CH23" si="17">+I17+J17+AC17+AD17+AW17+AX17+BQ17+BR17</f>
        <v>0</v>
      </c>
      <c r="CI17" s="464">
        <f t="shared" ref="CI17:CI23" si="18">SUM(K17,AE17,AY17,BS17)</f>
        <v>0</v>
      </c>
      <c r="CJ17" s="462">
        <f t="shared" ref="CJ17:CJ23" si="19">L17+M17+AF17+AG17+AZ17+BA17+BT17+BU17</f>
        <v>11641533.55259998</v>
      </c>
      <c r="CK17" s="462">
        <f t="shared" ref="CK17:CK23" si="20">N17+O17+AH17+AI17+BB17+BC17+BV17+BW17</f>
        <v>9128742.4634000193</v>
      </c>
      <c r="CL17" s="462">
        <f t="shared" ref="CL17:CL23" si="21">P17+Q17+AJ17+AK17+BD17+BE17+BX17+BY17</f>
        <v>10213777.667800041</v>
      </c>
      <c r="CM17" s="462">
        <f t="shared" ref="CM17:CM23" si="22">+R17+S17+AL17+AM17+BF17+BG17+BZ17+CA17</f>
        <v>10219356.690200053</v>
      </c>
      <c r="CN17" s="464">
        <f t="shared" ref="CN17:CN23" si="23">SUM(T17,AN17,BH17,CB17)</f>
        <v>41203410.374000087</v>
      </c>
      <c r="CO17" s="462">
        <f t="shared" ref="CO17:CO23" si="24">+C17+D17+L17+M17+W17+X17+AF17+AG17+AQ17+AR17+AZ17+BA17+BK17+BL17+BT17+BU17</f>
        <v>11641533.55259998</v>
      </c>
      <c r="CP17" s="462">
        <f t="shared" ref="CP17:CP23" si="25">+E17+F17+N17+O17+Y17+Z17+AH17+AI17+AS17+AT17+BB17+BC17+BM17+BN17+BV17+BW17</f>
        <v>9128742.4634000193</v>
      </c>
      <c r="CQ17" s="462">
        <f t="shared" ref="CQ17:CQ23" si="26">+G17+H17+P17+Q17+AA17+AB17+AJ17+AK17+AU17+AV17+BD17+BE17+BO17+BP17+BX17+BY17</f>
        <v>10213777.667800041</v>
      </c>
      <c r="CR17" s="462">
        <f t="shared" ref="CR17:CR23" si="27">+I17+J17+R17+S17+AC17+AD17+AL17+AM17+AW17+AX17+BF17+BG17+BQ17+BR17+BZ17+CA17</f>
        <v>10219356.690200053</v>
      </c>
      <c r="CS17" s="464">
        <f t="shared" si="13"/>
        <v>41203410.374000095</v>
      </c>
      <c r="CT17" s="362"/>
      <c r="CV17" s="362"/>
      <c r="CX17" s="362"/>
    </row>
    <row r="18" spans="1:131" ht="15.75" customHeight="1" x14ac:dyDescent="0.25">
      <c r="A18" s="94" t="s">
        <v>212</v>
      </c>
      <c r="B18" s="343"/>
      <c r="C18" s="257"/>
      <c r="D18" s="257"/>
      <c r="E18" s="257"/>
      <c r="F18" s="257"/>
      <c r="G18" s="257"/>
      <c r="H18" s="257"/>
      <c r="I18" s="257"/>
      <c r="J18" s="257"/>
      <c r="K18" s="460">
        <f t="shared" si="1"/>
        <v>0</v>
      </c>
      <c r="L18" s="465">
        <v>0</v>
      </c>
      <c r="M18" s="257">
        <v>28167.885200000001</v>
      </c>
      <c r="N18" s="257">
        <v>0</v>
      </c>
      <c r="O18" s="257">
        <v>24752.2618</v>
      </c>
      <c r="P18" s="257">
        <v>0</v>
      </c>
      <c r="Q18" s="257">
        <v>27076.9002</v>
      </c>
      <c r="R18" s="257">
        <v>0</v>
      </c>
      <c r="S18" s="257">
        <v>26065.461800000001</v>
      </c>
      <c r="T18" s="462">
        <f t="shared" si="2"/>
        <v>106062.50900000001</v>
      </c>
      <c r="U18" s="463">
        <f t="shared" si="3"/>
        <v>106062.50900000001</v>
      </c>
      <c r="V18" s="343"/>
      <c r="W18" s="257">
        <v>0</v>
      </c>
      <c r="X18" s="257">
        <v>0</v>
      </c>
      <c r="Y18" s="257">
        <v>0</v>
      </c>
      <c r="Z18" s="257">
        <v>0</v>
      </c>
      <c r="AA18" s="257">
        <v>0</v>
      </c>
      <c r="AB18" s="257">
        <v>0</v>
      </c>
      <c r="AC18" s="257">
        <v>0</v>
      </c>
      <c r="AD18" s="257">
        <v>0</v>
      </c>
      <c r="AE18" s="460">
        <f t="shared" si="4"/>
        <v>0</v>
      </c>
      <c r="AF18" s="465">
        <v>0</v>
      </c>
      <c r="AG18" s="257">
        <v>17469.4506</v>
      </c>
      <c r="AH18" s="257">
        <v>0</v>
      </c>
      <c r="AI18" s="257">
        <v>13695.470600000001</v>
      </c>
      <c r="AJ18" s="257">
        <v>0</v>
      </c>
      <c r="AK18" s="257">
        <v>15315.3812</v>
      </c>
      <c r="AL18" s="257">
        <v>0</v>
      </c>
      <c r="AM18" s="257">
        <v>15208.139800000001</v>
      </c>
      <c r="AN18" s="462">
        <f t="shared" si="5"/>
        <v>61688.442200000005</v>
      </c>
      <c r="AO18" s="463">
        <f t="shared" si="6"/>
        <v>61688.442200000005</v>
      </c>
      <c r="AP18" s="343"/>
      <c r="AQ18" s="257">
        <v>0</v>
      </c>
      <c r="AR18" s="257">
        <v>0</v>
      </c>
      <c r="AS18" s="257">
        <v>0</v>
      </c>
      <c r="AT18" s="257">
        <v>0</v>
      </c>
      <c r="AU18" s="257">
        <v>0</v>
      </c>
      <c r="AV18" s="257">
        <v>0</v>
      </c>
      <c r="AW18" s="257">
        <v>0</v>
      </c>
      <c r="AX18" s="257">
        <v>0</v>
      </c>
      <c r="AY18" s="460">
        <f t="shared" si="7"/>
        <v>0</v>
      </c>
      <c r="AZ18" s="465">
        <v>0</v>
      </c>
      <c r="BA18" s="257">
        <v>292883.44679999998</v>
      </c>
      <c r="BB18" s="257">
        <v>0</v>
      </c>
      <c r="BC18" s="257">
        <v>222166.352799999</v>
      </c>
      <c r="BD18" s="257">
        <v>0</v>
      </c>
      <c r="BE18" s="257">
        <v>247685.95459999901</v>
      </c>
      <c r="BF18" s="257">
        <v>0</v>
      </c>
      <c r="BG18" s="257">
        <v>239760.03799999901</v>
      </c>
      <c r="BH18" s="462">
        <f t="shared" si="8"/>
        <v>1002495.792199997</v>
      </c>
      <c r="BI18" s="463">
        <f t="shared" si="9"/>
        <v>1002495.792199997</v>
      </c>
      <c r="BJ18" s="343"/>
      <c r="BK18" s="257">
        <v>0</v>
      </c>
      <c r="BL18" s="257">
        <v>0</v>
      </c>
      <c r="BM18" s="257">
        <v>0</v>
      </c>
      <c r="BN18" s="257">
        <v>0</v>
      </c>
      <c r="BO18" s="257">
        <v>0</v>
      </c>
      <c r="BP18" s="257">
        <v>0</v>
      </c>
      <c r="BQ18" s="257">
        <v>0</v>
      </c>
      <c r="BR18" s="257">
        <v>0</v>
      </c>
      <c r="BS18" s="460">
        <f t="shared" si="10"/>
        <v>0</v>
      </c>
      <c r="BT18" s="465">
        <v>0</v>
      </c>
      <c r="BU18" s="257">
        <v>14364.5656</v>
      </c>
      <c r="BV18" s="257">
        <v>0</v>
      </c>
      <c r="BW18" s="257">
        <v>12640.236000000001</v>
      </c>
      <c r="BX18" s="257">
        <v>0</v>
      </c>
      <c r="BY18" s="257">
        <v>13257.0676</v>
      </c>
      <c r="BZ18" s="257">
        <v>0</v>
      </c>
      <c r="CA18" s="257">
        <v>11598.0648</v>
      </c>
      <c r="CB18" s="462">
        <f t="shared" si="11"/>
        <v>51859.934000000001</v>
      </c>
      <c r="CC18" s="463">
        <f t="shared" si="12"/>
        <v>51859.934000000001</v>
      </c>
      <c r="CD18" s="343"/>
      <c r="CE18" s="462">
        <f t="shared" si="14"/>
        <v>0</v>
      </c>
      <c r="CF18" s="462">
        <f t="shared" si="15"/>
        <v>0</v>
      </c>
      <c r="CG18" s="462">
        <f t="shared" si="16"/>
        <v>0</v>
      </c>
      <c r="CH18" s="462">
        <f t="shared" si="17"/>
        <v>0</v>
      </c>
      <c r="CI18" s="464">
        <f t="shared" si="18"/>
        <v>0</v>
      </c>
      <c r="CJ18" s="462">
        <f t="shared" si="19"/>
        <v>352885.34819999995</v>
      </c>
      <c r="CK18" s="462">
        <f t="shared" si="20"/>
        <v>273254.32119999902</v>
      </c>
      <c r="CL18" s="462">
        <f t="shared" si="21"/>
        <v>303335.303599999</v>
      </c>
      <c r="CM18" s="462">
        <f t="shared" si="22"/>
        <v>292631.704399999</v>
      </c>
      <c r="CN18" s="464">
        <f t="shared" si="23"/>
        <v>1222106.6773999969</v>
      </c>
      <c r="CO18" s="462">
        <f t="shared" si="24"/>
        <v>352885.34819999995</v>
      </c>
      <c r="CP18" s="462">
        <f t="shared" si="25"/>
        <v>273254.32119999902</v>
      </c>
      <c r="CQ18" s="462">
        <f t="shared" si="26"/>
        <v>303335.303599999</v>
      </c>
      <c r="CR18" s="462">
        <f t="shared" si="27"/>
        <v>292631.704399999</v>
      </c>
      <c r="CS18" s="464">
        <f t="shared" si="13"/>
        <v>1222106.6773999969</v>
      </c>
      <c r="CV18" s="362"/>
      <c r="CX18" s="362"/>
    </row>
    <row r="19" spans="1:131" ht="15.75" customHeight="1" x14ac:dyDescent="0.25">
      <c r="A19" s="94" t="s">
        <v>213</v>
      </c>
      <c r="B19" s="343"/>
      <c r="C19" s="257"/>
      <c r="D19" s="257"/>
      <c r="E19" s="257"/>
      <c r="F19" s="257"/>
      <c r="G19" s="257"/>
      <c r="H19" s="257"/>
      <c r="I19" s="257"/>
      <c r="J19" s="257"/>
      <c r="K19" s="460">
        <f t="shared" si="1"/>
        <v>0</v>
      </c>
      <c r="L19" s="465">
        <v>0</v>
      </c>
      <c r="M19" s="257">
        <v>196765</v>
      </c>
      <c r="N19" s="257">
        <v>0</v>
      </c>
      <c r="O19" s="257">
        <v>216571</v>
      </c>
      <c r="P19" s="257">
        <v>0</v>
      </c>
      <c r="Q19" s="257">
        <v>272854</v>
      </c>
      <c r="R19" s="257">
        <v>0</v>
      </c>
      <c r="S19" s="257">
        <v>274087</v>
      </c>
      <c r="T19" s="462">
        <f t="shared" si="2"/>
        <v>960277</v>
      </c>
      <c r="U19" s="463">
        <f t="shared" si="3"/>
        <v>960277</v>
      </c>
      <c r="V19" s="343"/>
      <c r="W19" s="257">
        <v>0</v>
      </c>
      <c r="X19" s="257">
        <v>0</v>
      </c>
      <c r="Y19" s="257">
        <v>0</v>
      </c>
      <c r="Z19" s="257">
        <v>0</v>
      </c>
      <c r="AA19" s="257">
        <v>0</v>
      </c>
      <c r="AB19" s="257">
        <v>0</v>
      </c>
      <c r="AC19" s="257">
        <v>0</v>
      </c>
      <c r="AD19" s="257">
        <v>0</v>
      </c>
      <c r="AE19" s="460">
        <f t="shared" si="4"/>
        <v>0</v>
      </c>
      <c r="AF19" s="465">
        <v>0</v>
      </c>
      <c r="AG19" s="257">
        <v>72348</v>
      </c>
      <c r="AH19" s="257">
        <v>0</v>
      </c>
      <c r="AI19" s="257">
        <v>104866</v>
      </c>
      <c r="AJ19" s="257">
        <v>0</v>
      </c>
      <c r="AK19" s="257">
        <v>133884</v>
      </c>
      <c r="AL19" s="257">
        <v>0</v>
      </c>
      <c r="AM19" s="257">
        <v>101556</v>
      </c>
      <c r="AN19" s="462">
        <f t="shared" si="5"/>
        <v>412654</v>
      </c>
      <c r="AO19" s="463">
        <f t="shared" si="6"/>
        <v>412654</v>
      </c>
      <c r="AP19" s="343"/>
      <c r="AQ19" s="257">
        <v>0</v>
      </c>
      <c r="AR19" s="257">
        <v>0</v>
      </c>
      <c r="AS19" s="257">
        <v>0</v>
      </c>
      <c r="AT19" s="257">
        <v>0</v>
      </c>
      <c r="AU19" s="257">
        <v>0</v>
      </c>
      <c r="AV19" s="257">
        <v>0</v>
      </c>
      <c r="AW19" s="257">
        <v>0</v>
      </c>
      <c r="AX19" s="257">
        <v>0</v>
      </c>
      <c r="AY19" s="460">
        <f t="shared" si="7"/>
        <v>0</v>
      </c>
      <c r="AZ19" s="465">
        <v>0</v>
      </c>
      <c r="BA19" s="257">
        <v>1548052</v>
      </c>
      <c r="BB19" s="257">
        <v>0</v>
      </c>
      <c r="BC19" s="257">
        <v>1715727</v>
      </c>
      <c r="BD19" s="257">
        <v>0</v>
      </c>
      <c r="BE19" s="257">
        <v>1933610</v>
      </c>
      <c r="BF19" s="257">
        <v>0</v>
      </c>
      <c r="BG19" s="257">
        <v>1974205</v>
      </c>
      <c r="BH19" s="462">
        <f t="shared" si="8"/>
        <v>7171594</v>
      </c>
      <c r="BI19" s="463">
        <f t="shared" si="9"/>
        <v>7171594</v>
      </c>
      <c r="BJ19" s="343"/>
      <c r="BK19" s="257">
        <v>0</v>
      </c>
      <c r="BL19" s="257">
        <v>0</v>
      </c>
      <c r="BM19" s="257">
        <v>0</v>
      </c>
      <c r="BN19" s="257">
        <v>0</v>
      </c>
      <c r="BO19" s="257">
        <v>0</v>
      </c>
      <c r="BP19" s="257">
        <v>0</v>
      </c>
      <c r="BQ19" s="257">
        <v>0</v>
      </c>
      <c r="BR19" s="257">
        <v>0</v>
      </c>
      <c r="BS19" s="460">
        <f t="shared" si="10"/>
        <v>0</v>
      </c>
      <c r="BT19" s="465">
        <v>0</v>
      </c>
      <c r="BU19" s="257">
        <v>102712</v>
      </c>
      <c r="BV19" s="257">
        <v>0</v>
      </c>
      <c r="BW19" s="257">
        <v>130420</v>
      </c>
      <c r="BX19" s="257">
        <v>0</v>
      </c>
      <c r="BY19" s="257">
        <v>100408</v>
      </c>
      <c r="BZ19" s="257">
        <v>0</v>
      </c>
      <c r="CA19" s="257">
        <v>60838</v>
      </c>
      <c r="CB19" s="462">
        <f t="shared" si="11"/>
        <v>394378</v>
      </c>
      <c r="CC19" s="463">
        <f t="shared" si="12"/>
        <v>394378</v>
      </c>
      <c r="CD19" s="343"/>
      <c r="CE19" s="462">
        <f t="shared" si="14"/>
        <v>0</v>
      </c>
      <c r="CF19" s="462">
        <f t="shared" si="15"/>
        <v>0</v>
      </c>
      <c r="CG19" s="462">
        <f t="shared" si="16"/>
        <v>0</v>
      </c>
      <c r="CH19" s="462">
        <f t="shared" si="17"/>
        <v>0</v>
      </c>
      <c r="CI19" s="464">
        <f t="shared" si="18"/>
        <v>0</v>
      </c>
      <c r="CJ19" s="462">
        <f t="shared" si="19"/>
        <v>1919877</v>
      </c>
      <c r="CK19" s="462">
        <f t="shared" si="20"/>
        <v>2167584</v>
      </c>
      <c r="CL19" s="462">
        <f t="shared" si="21"/>
        <v>2440756</v>
      </c>
      <c r="CM19" s="462">
        <f t="shared" si="22"/>
        <v>2410686</v>
      </c>
      <c r="CN19" s="464">
        <f t="shared" si="23"/>
        <v>8938903</v>
      </c>
      <c r="CO19" s="462">
        <f t="shared" si="24"/>
        <v>1919877</v>
      </c>
      <c r="CP19" s="462">
        <f t="shared" si="25"/>
        <v>2167584</v>
      </c>
      <c r="CQ19" s="462">
        <f t="shared" si="26"/>
        <v>2440756</v>
      </c>
      <c r="CR19" s="462">
        <f t="shared" si="27"/>
        <v>2410686</v>
      </c>
      <c r="CS19" s="464">
        <f t="shared" si="13"/>
        <v>8938903</v>
      </c>
    </row>
    <row r="20" spans="1:131" ht="15.75" customHeight="1" x14ac:dyDescent="0.25">
      <c r="A20" s="148" t="s">
        <v>210</v>
      </c>
      <c r="B20" s="343">
        <v>2</v>
      </c>
      <c r="C20" s="258">
        <f t="shared" ref="C20:J20" si="28">SUM(C17:C19)</f>
        <v>0</v>
      </c>
      <c r="D20" s="258">
        <f t="shared" si="28"/>
        <v>0</v>
      </c>
      <c r="E20" s="258">
        <f t="shared" si="28"/>
        <v>0</v>
      </c>
      <c r="F20" s="258">
        <f t="shared" si="28"/>
        <v>0</v>
      </c>
      <c r="G20" s="258">
        <f t="shared" si="28"/>
        <v>0</v>
      </c>
      <c r="H20" s="258">
        <f t="shared" si="28"/>
        <v>0</v>
      </c>
      <c r="I20" s="258">
        <f t="shared" si="28"/>
        <v>0</v>
      </c>
      <c r="J20" s="258">
        <f t="shared" si="28"/>
        <v>0</v>
      </c>
      <c r="K20" s="460">
        <f t="shared" si="1"/>
        <v>0</v>
      </c>
      <c r="L20" s="466">
        <f t="shared" ref="L20:S20" si="29">SUM(L17:L19)</f>
        <v>0</v>
      </c>
      <c r="M20" s="258">
        <f t="shared" si="29"/>
        <v>1281234.0976</v>
      </c>
      <c r="N20" s="258">
        <f t="shared" si="29"/>
        <v>0</v>
      </c>
      <c r="O20" s="258">
        <f t="shared" si="29"/>
        <v>1129202.5365999988</v>
      </c>
      <c r="P20" s="258">
        <f t="shared" si="29"/>
        <v>0</v>
      </c>
      <c r="Q20" s="258">
        <f t="shared" si="29"/>
        <v>1244735.974000002</v>
      </c>
      <c r="R20" s="258">
        <f t="shared" si="29"/>
        <v>0</v>
      </c>
      <c r="S20" s="258">
        <f t="shared" si="29"/>
        <v>1247374.3430000022</v>
      </c>
      <c r="T20" s="462">
        <f t="shared" si="2"/>
        <v>4902546.9512000028</v>
      </c>
      <c r="U20" s="463">
        <f t="shared" si="3"/>
        <v>4902546.9512000028</v>
      </c>
      <c r="V20" s="343">
        <v>2</v>
      </c>
      <c r="W20" s="258">
        <f t="shared" ref="W20:AD20" si="30">SUM(W17:W19)</f>
        <v>0</v>
      </c>
      <c r="X20" s="258">
        <f t="shared" si="30"/>
        <v>0</v>
      </c>
      <c r="Y20" s="258">
        <f t="shared" si="30"/>
        <v>0</v>
      </c>
      <c r="Z20" s="258">
        <f t="shared" si="30"/>
        <v>0</v>
      </c>
      <c r="AA20" s="258">
        <f t="shared" si="30"/>
        <v>0</v>
      </c>
      <c r="AB20" s="258">
        <f t="shared" si="30"/>
        <v>0</v>
      </c>
      <c r="AC20" s="258">
        <f t="shared" si="30"/>
        <v>0</v>
      </c>
      <c r="AD20" s="258">
        <f t="shared" si="30"/>
        <v>0</v>
      </c>
      <c r="AE20" s="460">
        <f t="shared" si="4"/>
        <v>0</v>
      </c>
      <c r="AF20" s="466">
        <f t="shared" ref="AF20:AM20" si="31">SUM(AF17:AF19)</f>
        <v>0</v>
      </c>
      <c r="AG20" s="258">
        <f t="shared" si="31"/>
        <v>539721.5345999999</v>
      </c>
      <c r="AH20" s="258">
        <f t="shared" si="31"/>
        <v>0</v>
      </c>
      <c r="AI20" s="258">
        <f t="shared" si="31"/>
        <v>517346.75540000002</v>
      </c>
      <c r="AJ20" s="258">
        <f t="shared" si="31"/>
        <v>0</v>
      </c>
      <c r="AK20" s="258">
        <f t="shared" si="31"/>
        <v>590491.02919999999</v>
      </c>
      <c r="AL20" s="258">
        <f t="shared" si="31"/>
        <v>0</v>
      </c>
      <c r="AM20" s="258">
        <f t="shared" si="31"/>
        <v>590621.08000000007</v>
      </c>
      <c r="AN20" s="462">
        <f t="shared" si="5"/>
        <v>2238180.3991999999</v>
      </c>
      <c r="AO20" s="463">
        <f t="shared" si="6"/>
        <v>2238180.3991999999</v>
      </c>
      <c r="AP20" s="343">
        <v>2</v>
      </c>
      <c r="AQ20" s="258">
        <f t="shared" ref="AQ20:AX20" si="32">SUM(AQ17:AQ19)</f>
        <v>0</v>
      </c>
      <c r="AR20" s="258">
        <f t="shared" si="32"/>
        <v>0</v>
      </c>
      <c r="AS20" s="258">
        <f t="shared" si="32"/>
        <v>0</v>
      </c>
      <c r="AT20" s="258">
        <f t="shared" si="32"/>
        <v>0</v>
      </c>
      <c r="AU20" s="258">
        <f t="shared" si="32"/>
        <v>0</v>
      </c>
      <c r="AV20" s="258">
        <f t="shared" si="32"/>
        <v>0</v>
      </c>
      <c r="AW20" s="258">
        <f t="shared" si="32"/>
        <v>0</v>
      </c>
      <c r="AX20" s="258">
        <f t="shared" si="32"/>
        <v>0</v>
      </c>
      <c r="AY20" s="460">
        <f t="shared" si="7"/>
        <v>0</v>
      </c>
      <c r="AZ20" s="466">
        <f t="shared" ref="AZ20:BG20" si="33">SUM(AZ17:AZ19)</f>
        <v>0</v>
      </c>
      <c r="BA20" s="258">
        <f t="shared" si="33"/>
        <v>11576980.764399979</v>
      </c>
      <c r="BB20" s="258">
        <f t="shared" si="33"/>
        <v>0</v>
      </c>
      <c r="BC20" s="258">
        <f t="shared" si="33"/>
        <v>9425007.357800018</v>
      </c>
      <c r="BD20" s="258">
        <f t="shared" si="33"/>
        <v>0</v>
      </c>
      <c r="BE20" s="258">
        <f t="shared" si="33"/>
        <v>10652321.904000038</v>
      </c>
      <c r="BF20" s="258">
        <f t="shared" si="33"/>
        <v>0</v>
      </c>
      <c r="BG20" s="258">
        <f t="shared" si="33"/>
        <v>10598745.489600049</v>
      </c>
      <c r="BH20" s="462">
        <f t="shared" si="8"/>
        <v>42253055.515800081</v>
      </c>
      <c r="BI20" s="463">
        <f t="shared" si="9"/>
        <v>42253055.515800081</v>
      </c>
      <c r="BJ20" s="343">
        <v>2</v>
      </c>
      <c r="BK20" s="258">
        <f t="shared" ref="BK20:BR20" si="34">SUM(BK17:BK19)</f>
        <v>0</v>
      </c>
      <c r="BL20" s="258">
        <f t="shared" si="34"/>
        <v>0</v>
      </c>
      <c r="BM20" s="258">
        <f t="shared" si="34"/>
        <v>0</v>
      </c>
      <c r="BN20" s="258">
        <f t="shared" si="34"/>
        <v>0</v>
      </c>
      <c r="BO20" s="258">
        <f t="shared" si="34"/>
        <v>0</v>
      </c>
      <c r="BP20" s="258">
        <f t="shared" si="34"/>
        <v>0</v>
      </c>
      <c r="BQ20" s="258">
        <f t="shared" si="34"/>
        <v>0</v>
      </c>
      <c r="BR20" s="258">
        <f t="shared" si="34"/>
        <v>0</v>
      </c>
      <c r="BS20" s="460">
        <f t="shared" si="10"/>
        <v>0</v>
      </c>
      <c r="BT20" s="466">
        <f t="shared" ref="BT20:CA20" si="35">SUM(BT17:BT19)</f>
        <v>0</v>
      </c>
      <c r="BU20" s="258">
        <f t="shared" si="35"/>
        <v>516359.50419999997</v>
      </c>
      <c r="BV20" s="258">
        <f t="shared" si="35"/>
        <v>0</v>
      </c>
      <c r="BW20" s="258">
        <f t="shared" si="35"/>
        <v>498024.13479999994</v>
      </c>
      <c r="BX20" s="258">
        <f t="shared" si="35"/>
        <v>0</v>
      </c>
      <c r="BY20" s="258">
        <f t="shared" si="35"/>
        <v>470320.06420000002</v>
      </c>
      <c r="BZ20" s="258">
        <f t="shared" si="35"/>
        <v>0</v>
      </c>
      <c r="CA20" s="258">
        <f t="shared" si="35"/>
        <v>485933.48200000002</v>
      </c>
      <c r="CB20" s="462">
        <f t="shared" si="11"/>
        <v>1970637.1851999999</v>
      </c>
      <c r="CC20" s="463">
        <f t="shared" si="12"/>
        <v>1970637.1851999999</v>
      </c>
      <c r="CD20" s="343">
        <v>2</v>
      </c>
      <c r="CE20" s="462">
        <f t="shared" si="14"/>
        <v>0</v>
      </c>
      <c r="CF20" s="462">
        <f t="shared" si="15"/>
        <v>0</v>
      </c>
      <c r="CG20" s="462">
        <f t="shared" si="16"/>
        <v>0</v>
      </c>
      <c r="CH20" s="462">
        <f t="shared" si="17"/>
        <v>0</v>
      </c>
      <c r="CI20" s="464">
        <f t="shared" si="18"/>
        <v>0</v>
      </c>
      <c r="CJ20" s="462">
        <f t="shared" si="19"/>
        <v>13914295.900799979</v>
      </c>
      <c r="CK20" s="462">
        <f t="shared" si="20"/>
        <v>11569580.784600018</v>
      </c>
      <c r="CL20" s="462">
        <f t="shared" si="21"/>
        <v>12957868.971400041</v>
      </c>
      <c r="CM20" s="462">
        <f t="shared" si="22"/>
        <v>12922674.394600052</v>
      </c>
      <c r="CN20" s="464">
        <f t="shared" si="23"/>
        <v>51364420.05140008</v>
      </c>
      <c r="CO20" s="462">
        <f t="shared" si="24"/>
        <v>13914295.900799979</v>
      </c>
      <c r="CP20" s="462">
        <f t="shared" si="25"/>
        <v>11569580.784600018</v>
      </c>
      <c r="CQ20" s="462">
        <f t="shared" si="26"/>
        <v>12957868.971400041</v>
      </c>
      <c r="CR20" s="462">
        <f t="shared" si="27"/>
        <v>12922674.394600052</v>
      </c>
      <c r="CS20" s="464">
        <f t="shared" si="13"/>
        <v>51364420.05140008</v>
      </c>
      <c r="CT20" s="362"/>
      <c r="CU20" s="362"/>
      <c r="CV20" s="362"/>
      <c r="CW20" s="362"/>
      <c r="CX20" s="362"/>
    </row>
    <row r="21" spans="1:131" ht="15.75" customHeight="1" x14ac:dyDescent="0.25">
      <c r="A21" s="94" t="s">
        <v>208</v>
      </c>
      <c r="B21" s="343">
        <v>3</v>
      </c>
      <c r="C21" s="257"/>
      <c r="D21" s="257"/>
      <c r="E21" s="257"/>
      <c r="F21" s="257"/>
      <c r="G21" s="257"/>
      <c r="H21" s="257"/>
      <c r="I21" s="257"/>
      <c r="J21" s="257"/>
      <c r="K21" s="460">
        <f t="shared" si="1"/>
        <v>0</v>
      </c>
      <c r="L21" s="465"/>
      <c r="M21" s="257"/>
      <c r="N21" s="257"/>
      <c r="O21" s="257"/>
      <c r="P21" s="257"/>
      <c r="Q21" s="257"/>
      <c r="R21" s="257"/>
      <c r="S21" s="257"/>
      <c r="T21" s="462">
        <f t="shared" si="2"/>
        <v>0</v>
      </c>
      <c r="U21" s="463">
        <f t="shared" si="3"/>
        <v>0</v>
      </c>
      <c r="V21" s="343">
        <v>3</v>
      </c>
      <c r="W21" s="257"/>
      <c r="X21" s="257"/>
      <c r="Y21" s="257"/>
      <c r="Z21" s="257"/>
      <c r="AA21" s="257"/>
      <c r="AB21" s="257"/>
      <c r="AC21" s="257"/>
      <c r="AD21" s="257"/>
      <c r="AE21" s="460">
        <f t="shared" si="4"/>
        <v>0</v>
      </c>
      <c r="AF21" s="465"/>
      <c r="AG21" s="257"/>
      <c r="AH21" s="257"/>
      <c r="AI21" s="257"/>
      <c r="AJ21" s="257"/>
      <c r="AK21" s="257"/>
      <c r="AL21" s="257"/>
      <c r="AM21" s="257"/>
      <c r="AN21" s="462">
        <f t="shared" si="5"/>
        <v>0</v>
      </c>
      <c r="AO21" s="463">
        <f t="shared" si="6"/>
        <v>0</v>
      </c>
      <c r="AP21" s="343">
        <v>3</v>
      </c>
      <c r="AQ21" s="257"/>
      <c r="AR21" s="257"/>
      <c r="AS21" s="257"/>
      <c r="AT21" s="257"/>
      <c r="AU21" s="257"/>
      <c r="AV21" s="257"/>
      <c r="AW21" s="257"/>
      <c r="AX21" s="257"/>
      <c r="AY21" s="460">
        <f t="shared" si="7"/>
        <v>0</v>
      </c>
      <c r="AZ21" s="465"/>
      <c r="BA21" s="257"/>
      <c r="BB21" s="257"/>
      <c r="BC21" s="257"/>
      <c r="BD21" s="257"/>
      <c r="BE21" s="257"/>
      <c r="BF21" s="257"/>
      <c r="BG21" s="257"/>
      <c r="BH21" s="462">
        <f t="shared" si="8"/>
        <v>0</v>
      </c>
      <c r="BI21" s="463">
        <f t="shared" si="9"/>
        <v>0</v>
      </c>
      <c r="BJ21" s="343">
        <v>3</v>
      </c>
      <c r="BK21" s="257"/>
      <c r="BL21" s="257"/>
      <c r="BM21" s="257"/>
      <c r="BN21" s="257"/>
      <c r="BO21" s="257"/>
      <c r="BP21" s="257"/>
      <c r="BQ21" s="257"/>
      <c r="BR21" s="257"/>
      <c r="BS21" s="460">
        <f t="shared" si="10"/>
        <v>0</v>
      </c>
      <c r="BT21" s="465"/>
      <c r="BU21" s="257"/>
      <c r="BV21" s="257"/>
      <c r="BW21" s="257"/>
      <c r="BX21" s="257"/>
      <c r="BY21" s="257"/>
      <c r="BZ21" s="257"/>
      <c r="CA21" s="257"/>
      <c r="CB21" s="462">
        <f t="shared" si="11"/>
        <v>0</v>
      </c>
      <c r="CC21" s="463">
        <f t="shared" si="12"/>
        <v>0</v>
      </c>
      <c r="CD21" s="343">
        <v>3</v>
      </c>
      <c r="CE21" s="462">
        <f t="shared" si="14"/>
        <v>0</v>
      </c>
      <c r="CF21" s="462">
        <f t="shared" si="15"/>
        <v>0</v>
      </c>
      <c r="CG21" s="462">
        <f t="shared" si="16"/>
        <v>0</v>
      </c>
      <c r="CH21" s="462">
        <f t="shared" si="17"/>
        <v>0</v>
      </c>
      <c r="CI21" s="464">
        <f t="shared" si="18"/>
        <v>0</v>
      </c>
      <c r="CJ21" s="462">
        <f t="shared" si="19"/>
        <v>0</v>
      </c>
      <c r="CK21" s="462">
        <f t="shared" si="20"/>
        <v>0</v>
      </c>
      <c r="CL21" s="462">
        <f t="shared" si="21"/>
        <v>0</v>
      </c>
      <c r="CM21" s="462">
        <f t="shared" si="22"/>
        <v>0</v>
      </c>
      <c r="CN21" s="464">
        <f t="shared" si="23"/>
        <v>0</v>
      </c>
      <c r="CO21" s="462">
        <f t="shared" si="24"/>
        <v>0</v>
      </c>
      <c r="CP21" s="462">
        <f t="shared" si="25"/>
        <v>0</v>
      </c>
      <c r="CQ21" s="462">
        <f t="shared" si="26"/>
        <v>0</v>
      </c>
      <c r="CR21" s="462">
        <f t="shared" si="27"/>
        <v>0</v>
      </c>
      <c r="CS21" s="464">
        <f t="shared" si="13"/>
        <v>0</v>
      </c>
      <c r="CT21" s="362"/>
      <c r="CV21" s="362"/>
      <c r="CX21" s="362"/>
    </row>
    <row r="22" spans="1:131" ht="15.75" customHeight="1" x14ac:dyDescent="0.25">
      <c r="A22" s="94" t="s">
        <v>209</v>
      </c>
      <c r="B22" s="343">
        <v>4</v>
      </c>
      <c r="C22" s="257">
        <v>0</v>
      </c>
      <c r="D22" s="257">
        <v>0</v>
      </c>
      <c r="E22" s="257">
        <v>0</v>
      </c>
      <c r="F22" s="257">
        <v>0</v>
      </c>
      <c r="G22" s="257">
        <v>0</v>
      </c>
      <c r="H22" s="257">
        <v>0</v>
      </c>
      <c r="I22" s="257">
        <v>0</v>
      </c>
      <c r="J22" s="257">
        <v>0</v>
      </c>
      <c r="K22" s="460">
        <f t="shared" si="1"/>
        <v>0</v>
      </c>
      <c r="L22" s="465">
        <v>0</v>
      </c>
      <c r="M22" s="257">
        <v>17774.757739884426</v>
      </c>
      <c r="N22" s="257">
        <v>0</v>
      </c>
      <c r="O22" s="257">
        <v>15626.140058607025</v>
      </c>
      <c r="P22" s="257">
        <v>0</v>
      </c>
      <c r="Q22" s="257">
        <v>17098.109535102118</v>
      </c>
      <c r="R22" s="257">
        <v>0</v>
      </c>
      <c r="S22" s="257">
        <v>16453.120237491079</v>
      </c>
      <c r="T22" s="462">
        <f t="shared" si="2"/>
        <v>66952.127571084653</v>
      </c>
      <c r="U22" s="463">
        <f t="shared" si="3"/>
        <v>66952.127571084653</v>
      </c>
      <c r="V22" s="343">
        <v>4</v>
      </c>
      <c r="W22" s="257">
        <v>0</v>
      </c>
      <c r="X22" s="257">
        <v>0</v>
      </c>
      <c r="Y22" s="257">
        <v>0</v>
      </c>
      <c r="Z22" s="257">
        <v>0</v>
      </c>
      <c r="AA22" s="257">
        <v>0</v>
      </c>
      <c r="AB22" s="257">
        <v>0</v>
      </c>
      <c r="AC22" s="257">
        <v>0</v>
      </c>
      <c r="AD22" s="257">
        <v>0</v>
      </c>
      <c r="AE22" s="460">
        <f t="shared" si="4"/>
        <v>0</v>
      </c>
      <c r="AF22" s="465">
        <v>0</v>
      </c>
      <c r="AG22" s="257">
        <v>11058.024495769709</v>
      </c>
      <c r="AH22" s="257">
        <v>0</v>
      </c>
      <c r="AI22" s="257">
        <v>8661.4253286651947</v>
      </c>
      <c r="AJ22" s="257">
        <v>0</v>
      </c>
      <c r="AK22" s="257">
        <v>9686.6843570840065</v>
      </c>
      <c r="AL22" s="257">
        <v>0</v>
      </c>
      <c r="AM22" s="257">
        <v>9612.897932304817</v>
      </c>
      <c r="AN22" s="462">
        <f t="shared" si="5"/>
        <v>39019.032113823727</v>
      </c>
      <c r="AO22" s="463">
        <f t="shared" si="6"/>
        <v>39019.032113823727</v>
      </c>
      <c r="AP22" s="343">
        <v>4</v>
      </c>
      <c r="AQ22" s="257">
        <v>0</v>
      </c>
      <c r="AR22" s="257">
        <v>0</v>
      </c>
      <c r="AS22" s="257">
        <v>0</v>
      </c>
      <c r="AT22" s="257">
        <v>0</v>
      </c>
      <c r="AU22" s="257">
        <v>0</v>
      </c>
      <c r="AV22" s="257">
        <v>0</v>
      </c>
      <c r="AW22" s="257">
        <v>0</v>
      </c>
      <c r="AX22" s="257">
        <v>0</v>
      </c>
      <c r="AY22" s="460">
        <f t="shared" si="7"/>
        <v>0</v>
      </c>
      <c r="AZ22" s="465">
        <v>0</v>
      </c>
      <c r="BA22" s="257">
        <v>185026.41150270231</v>
      </c>
      <c r="BB22" s="257">
        <v>0</v>
      </c>
      <c r="BC22" s="257">
        <v>140334.52081005074</v>
      </c>
      <c r="BD22" s="257">
        <v>0</v>
      </c>
      <c r="BE22" s="257">
        <v>156433.63555413394</v>
      </c>
      <c r="BF22" s="257">
        <v>0</v>
      </c>
      <c r="BG22" s="257">
        <v>151396.89465819381</v>
      </c>
      <c r="BH22" s="462">
        <f t="shared" si="8"/>
        <v>633191.46252508077</v>
      </c>
      <c r="BI22" s="463">
        <f t="shared" si="9"/>
        <v>633191.46252508077</v>
      </c>
      <c r="BJ22" s="343">
        <v>4</v>
      </c>
      <c r="BK22" s="257">
        <v>0</v>
      </c>
      <c r="BL22" s="257">
        <v>0</v>
      </c>
      <c r="BM22" s="257">
        <v>0</v>
      </c>
      <c r="BN22" s="257">
        <v>0</v>
      </c>
      <c r="BO22" s="257">
        <v>0</v>
      </c>
      <c r="BP22" s="257">
        <v>0</v>
      </c>
      <c r="BQ22" s="257">
        <v>0</v>
      </c>
      <c r="BR22" s="257">
        <v>0</v>
      </c>
      <c r="BS22" s="460">
        <f t="shared" si="10"/>
        <v>0</v>
      </c>
      <c r="BT22" s="465">
        <v>0</v>
      </c>
      <c r="BU22" s="257">
        <v>9087.7535896736554</v>
      </c>
      <c r="BV22" s="257">
        <v>0</v>
      </c>
      <c r="BW22" s="257">
        <v>7996.2516861192398</v>
      </c>
      <c r="BX22" s="257">
        <v>0</v>
      </c>
      <c r="BY22" s="257">
        <v>8389.0732681384943</v>
      </c>
      <c r="BZ22" s="257">
        <v>0</v>
      </c>
      <c r="CA22" s="257">
        <v>7322.2989330138007</v>
      </c>
      <c r="CB22" s="462">
        <f t="shared" si="11"/>
        <v>32795.377476945185</v>
      </c>
      <c r="CC22" s="463">
        <f t="shared" si="12"/>
        <v>32795.377476945185</v>
      </c>
      <c r="CD22" s="343">
        <v>4</v>
      </c>
      <c r="CE22" s="462">
        <f t="shared" si="14"/>
        <v>0</v>
      </c>
      <c r="CF22" s="462">
        <f t="shared" si="15"/>
        <v>0</v>
      </c>
      <c r="CG22" s="462">
        <f t="shared" si="16"/>
        <v>0</v>
      </c>
      <c r="CH22" s="462">
        <f t="shared" si="17"/>
        <v>0</v>
      </c>
      <c r="CI22" s="464">
        <f t="shared" si="18"/>
        <v>0</v>
      </c>
      <c r="CJ22" s="462">
        <f t="shared" si="19"/>
        <v>222946.9473280301</v>
      </c>
      <c r="CK22" s="462">
        <f t="shared" si="20"/>
        <v>172618.3378834422</v>
      </c>
      <c r="CL22" s="462">
        <f t="shared" si="21"/>
        <v>191607.50271445856</v>
      </c>
      <c r="CM22" s="462">
        <f t="shared" si="22"/>
        <v>184785.21176100351</v>
      </c>
      <c r="CN22" s="464">
        <f t="shared" si="23"/>
        <v>771957.99968693429</v>
      </c>
      <c r="CO22" s="462">
        <f t="shared" si="24"/>
        <v>222946.9473280301</v>
      </c>
      <c r="CP22" s="462">
        <f t="shared" si="25"/>
        <v>172618.3378834422</v>
      </c>
      <c r="CQ22" s="462">
        <f t="shared" si="26"/>
        <v>191607.50271445856</v>
      </c>
      <c r="CR22" s="462">
        <f t="shared" si="27"/>
        <v>184785.21176100351</v>
      </c>
      <c r="CS22" s="464">
        <f t="shared" si="13"/>
        <v>771957.99968693429</v>
      </c>
      <c r="CT22" s="362"/>
      <c r="CV22" s="362"/>
      <c r="CX22" s="362"/>
    </row>
    <row r="23" spans="1:131" ht="15.75" customHeight="1" x14ac:dyDescent="0.25">
      <c r="A23" s="148" t="s">
        <v>44</v>
      </c>
      <c r="B23" s="343">
        <v>5</v>
      </c>
      <c r="C23" s="150">
        <f t="shared" ref="C23:J23" si="36">C16+C20+C21+C22</f>
        <v>107196.98</v>
      </c>
      <c r="D23" s="150">
        <f t="shared" si="36"/>
        <v>395989.91000000102</v>
      </c>
      <c r="E23" s="150">
        <f t="shared" si="36"/>
        <v>123959.94</v>
      </c>
      <c r="F23" s="150">
        <f t="shared" si="36"/>
        <v>391627.820000001</v>
      </c>
      <c r="G23" s="150">
        <f t="shared" si="36"/>
        <v>153708.1</v>
      </c>
      <c r="H23" s="150">
        <f t="shared" si="36"/>
        <v>396900.71000000101</v>
      </c>
      <c r="I23" s="150">
        <f t="shared" si="36"/>
        <v>158952.5</v>
      </c>
      <c r="J23" s="150">
        <f t="shared" si="36"/>
        <v>408934.97000000201</v>
      </c>
      <c r="K23" s="460">
        <f t="shared" si="1"/>
        <v>2137270.9300000053</v>
      </c>
      <c r="L23" s="237">
        <f t="shared" ref="L23:S23" si="37">L16+L20+L21+L22</f>
        <v>0</v>
      </c>
      <c r="M23" s="150">
        <f t="shared" si="37"/>
        <v>1299008.8553398843</v>
      </c>
      <c r="N23" s="150">
        <f t="shared" si="37"/>
        <v>0</v>
      </c>
      <c r="O23" s="150">
        <f t="shared" si="37"/>
        <v>1144828.6766586059</v>
      </c>
      <c r="P23" s="150">
        <f t="shared" si="37"/>
        <v>0</v>
      </c>
      <c r="Q23" s="150">
        <f t="shared" si="37"/>
        <v>1261834.0835351041</v>
      </c>
      <c r="R23" s="150">
        <f t="shared" si="37"/>
        <v>0</v>
      </c>
      <c r="S23" s="150">
        <f t="shared" si="37"/>
        <v>1263827.4632374933</v>
      </c>
      <c r="T23" s="462">
        <f t="shared" si="2"/>
        <v>4969499.0787710873</v>
      </c>
      <c r="U23" s="237">
        <f t="shared" si="3"/>
        <v>7106770.0087710926</v>
      </c>
      <c r="V23" s="343">
        <v>5</v>
      </c>
      <c r="W23" s="150">
        <f t="shared" ref="W23:AD23" si="38">W16+W20+W21+W22</f>
        <v>22973.040000000001</v>
      </c>
      <c r="X23" s="150">
        <f t="shared" si="38"/>
        <v>309334.93</v>
      </c>
      <c r="Y23" s="150">
        <f t="shared" si="38"/>
        <v>16913.28</v>
      </c>
      <c r="Z23" s="150">
        <f t="shared" si="38"/>
        <v>303526.65000000002</v>
      </c>
      <c r="AA23" s="150">
        <f t="shared" si="38"/>
        <v>13883.4</v>
      </c>
      <c r="AB23" s="150">
        <f t="shared" si="38"/>
        <v>307483.95</v>
      </c>
      <c r="AC23" s="150">
        <f t="shared" si="38"/>
        <v>28482.78</v>
      </c>
      <c r="AD23" s="150">
        <f t="shared" si="38"/>
        <v>333286.80000000098</v>
      </c>
      <c r="AE23" s="460">
        <f t="shared" si="4"/>
        <v>1335884.830000001</v>
      </c>
      <c r="AF23" s="237">
        <f t="shared" ref="AF23:AM23" si="39">AF16+AF20+AF21+AF22</f>
        <v>0</v>
      </c>
      <c r="AG23" s="150">
        <f t="shared" si="39"/>
        <v>550779.55909576965</v>
      </c>
      <c r="AH23" s="150">
        <f t="shared" si="39"/>
        <v>0</v>
      </c>
      <c r="AI23" s="150">
        <f t="shared" si="39"/>
        <v>526008.1807286652</v>
      </c>
      <c r="AJ23" s="150">
        <f t="shared" si="39"/>
        <v>0</v>
      </c>
      <c r="AK23" s="150">
        <f t="shared" si="39"/>
        <v>600177.71355708397</v>
      </c>
      <c r="AL23" s="150">
        <f t="shared" si="39"/>
        <v>0</v>
      </c>
      <c r="AM23" s="150">
        <f t="shared" si="39"/>
        <v>600233.97793230484</v>
      </c>
      <c r="AN23" s="462">
        <f t="shared" si="5"/>
        <v>2277199.4313138239</v>
      </c>
      <c r="AO23" s="237">
        <f t="shared" si="6"/>
        <v>3613084.2613138249</v>
      </c>
      <c r="AP23" s="343">
        <v>5</v>
      </c>
      <c r="AQ23" s="150">
        <f t="shared" ref="AQ23:AX23" si="40">AQ16+AQ20+AQ21+AQ22</f>
        <v>2811980.9999999898</v>
      </c>
      <c r="AR23" s="150">
        <f t="shared" si="40"/>
        <v>9013197.8299997803</v>
      </c>
      <c r="AS23" s="150">
        <f t="shared" si="40"/>
        <v>3006867.2899999996</v>
      </c>
      <c r="AT23" s="150">
        <f t="shared" si="40"/>
        <v>9237252.7499997783</v>
      </c>
      <c r="AU23" s="150">
        <f t="shared" si="40"/>
        <v>3128110.87</v>
      </c>
      <c r="AV23" s="150">
        <f t="shared" si="40"/>
        <v>9721650.9999996107</v>
      </c>
      <c r="AW23" s="150">
        <f t="shared" si="40"/>
        <v>3327370.16</v>
      </c>
      <c r="AX23" s="150">
        <f t="shared" si="40"/>
        <v>9980679.3199996017</v>
      </c>
      <c r="AY23" s="460">
        <f t="shared" si="7"/>
        <v>50227110.219998762</v>
      </c>
      <c r="AZ23" s="237">
        <f t="shared" ref="AZ23:BG23" si="41">AZ16+AZ20+AZ21+AZ22</f>
        <v>0</v>
      </c>
      <c r="BA23" s="150">
        <f t="shared" si="41"/>
        <v>11762007.175902681</v>
      </c>
      <c r="BB23" s="150">
        <f t="shared" si="41"/>
        <v>0</v>
      </c>
      <c r="BC23" s="150">
        <f t="shared" si="41"/>
        <v>9565341.8786100689</v>
      </c>
      <c r="BD23" s="150">
        <f t="shared" si="41"/>
        <v>0</v>
      </c>
      <c r="BE23" s="150">
        <f t="shared" si="41"/>
        <v>10808755.539554173</v>
      </c>
      <c r="BF23" s="150">
        <f t="shared" si="41"/>
        <v>0</v>
      </c>
      <c r="BG23" s="150">
        <f t="shared" si="41"/>
        <v>10750142.384258242</v>
      </c>
      <c r="BH23" s="462">
        <f t="shared" si="8"/>
        <v>42886246.978325166</v>
      </c>
      <c r="BI23" s="237">
        <f t="shared" si="9"/>
        <v>93113357.198323935</v>
      </c>
      <c r="BJ23" s="343">
        <v>5</v>
      </c>
      <c r="BK23" s="150">
        <f t="shared" ref="BK23:BR23" si="42">BK16+BK20+BK21+BK22</f>
        <v>69405.989999999991</v>
      </c>
      <c r="BL23" s="150">
        <f t="shared" si="42"/>
        <v>1180542.2000000002</v>
      </c>
      <c r="BM23" s="150">
        <f t="shared" si="42"/>
        <v>54451.880000000005</v>
      </c>
      <c r="BN23" s="150">
        <f t="shared" si="42"/>
        <v>1229754.1000000001</v>
      </c>
      <c r="BO23" s="150">
        <f t="shared" si="42"/>
        <v>78123.47</v>
      </c>
      <c r="BP23" s="150">
        <f t="shared" si="42"/>
        <v>1245926.83</v>
      </c>
      <c r="BQ23" s="150">
        <f t="shared" si="42"/>
        <v>88113.18</v>
      </c>
      <c r="BR23" s="150">
        <f t="shared" si="42"/>
        <v>1239144.8900000001</v>
      </c>
      <c r="BS23" s="460">
        <f t="shared" si="10"/>
        <v>5185462.540000001</v>
      </c>
      <c r="BT23" s="237">
        <f t="shared" ref="BT23:CA23" si="43">BT16+BT20+BT21+BT22</f>
        <v>0</v>
      </c>
      <c r="BU23" s="150">
        <f t="shared" si="43"/>
        <v>525447.25778967363</v>
      </c>
      <c r="BV23" s="150">
        <f t="shared" si="43"/>
        <v>0</v>
      </c>
      <c r="BW23" s="150">
        <f t="shared" si="43"/>
        <v>506020.38648611918</v>
      </c>
      <c r="BX23" s="150">
        <f t="shared" si="43"/>
        <v>0</v>
      </c>
      <c r="BY23" s="150">
        <f t="shared" si="43"/>
        <v>478709.13746813854</v>
      </c>
      <c r="BZ23" s="150">
        <f t="shared" si="43"/>
        <v>0</v>
      </c>
      <c r="CA23" s="150">
        <f t="shared" si="43"/>
        <v>493255.78093301383</v>
      </c>
      <c r="CB23" s="462">
        <f t="shared" si="11"/>
        <v>2003432.5626769452</v>
      </c>
      <c r="CC23" s="237">
        <f t="shared" si="12"/>
        <v>7188895.1026769467</v>
      </c>
      <c r="CD23" s="343">
        <v>5</v>
      </c>
      <c r="CE23" s="462">
        <f t="shared" si="14"/>
        <v>13910621.879999772</v>
      </c>
      <c r="CF23" s="462">
        <f t="shared" si="15"/>
        <v>14364353.709999779</v>
      </c>
      <c r="CG23" s="462">
        <f t="shared" si="16"/>
        <v>15045788.329999613</v>
      </c>
      <c r="CH23" s="462">
        <f t="shared" si="17"/>
        <v>15564964.599999605</v>
      </c>
      <c r="CI23" s="464">
        <f t="shared" si="18"/>
        <v>58885728.519998766</v>
      </c>
      <c r="CJ23" s="462">
        <f t="shared" si="19"/>
        <v>14137242.848128008</v>
      </c>
      <c r="CK23" s="462">
        <f t="shared" si="20"/>
        <v>11742199.122483458</v>
      </c>
      <c r="CL23" s="462">
        <f t="shared" si="21"/>
        <v>13149476.4741145</v>
      </c>
      <c r="CM23" s="462">
        <f t="shared" si="22"/>
        <v>13107459.606361054</v>
      </c>
      <c r="CN23" s="464">
        <f t="shared" si="23"/>
        <v>52136378.051087022</v>
      </c>
      <c r="CO23" s="462">
        <f t="shared" si="24"/>
        <v>28047864.728127781</v>
      </c>
      <c r="CP23" s="462">
        <f t="shared" si="25"/>
        <v>26106552.832483239</v>
      </c>
      <c r="CQ23" s="462">
        <f t="shared" si="26"/>
        <v>28195264.804114111</v>
      </c>
      <c r="CR23" s="462">
        <f t="shared" si="27"/>
        <v>28672424.20636066</v>
      </c>
      <c r="CS23" s="464">
        <f t="shared" si="13"/>
        <v>111022106.5710858</v>
      </c>
      <c r="CT23" s="362"/>
      <c r="CV23" s="362"/>
      <c r="CX23" s="362"/>
    </row>
    <row r="24" spans="1:131" ht="15.75" customHeight="1" x14ac:dyDescent="0.25">
      <c r="A24" s="148" t="s">
        <v>138</v>
      </c>
      <c r="B24" s="213"/>
      <c r="C24" s="198"/>
      <c r="D24" s="198"/>
      <c r="E24" s="198"/>
      <c r="F24" s="198"/>
      <c r="G24" s="198"/>
      <c r="H24" s="198"/>
      <c r="I24" s="198"/>
      <c r="J24" s="198"/>
      <c r="K24" s="429"/>
      <c r="L24" s="430"/>
      <c r="M24" s="198"/>
      <c r="N24" s="198"/>
      <c r="O24" s="198"/>
      <c r="P24" s="198"/>
      <c r="Q24" s="198"/>
      <c r="R24" s="198"/>
      <c r="S24" s="198"/>
      <c r="T24" s="198"/>
      <c r="U24" s="430"/>
      <c r="V24" s="213"/>
      <c r="W24" s="198"/>
      <c r="X24" s="198"/>
      <c r="Y24" s="198"/>
      <c r="Z24" s="198"/>
      <c r="AA24" s="198"/>
      <c r="AB24" s="198"/>
      <c r="AC24" s="198"/>
      <c r="AD24" s="198"/>
      <c r="AE24" s="429"/>
      <c r="AF24" s="430"/>
      <c r="AG24" s="198"/>
      <c r="AH24" s="198"/>
      <c r="AI24" s="198"/>
      <c r="AJ24" s="198"/>
      <c r="AK24" s="198"/>
      <c r="AL24" s="198"/>
      <c r="AM24" s="198"/>
      <c r="AN24" s="198"/>
      <c r="AO24" s="430"/>
      <c r="AP24" s="213"/>
      <c r="AQ24" s="198"/>
      <c r="AR24" s="198"/>
      <c r="AS24" s="198"/>
      <c r="AT24" s="198"/>
      <c r="AU24" s="198"/>
      <c r="AV24" s="198"/>
      <c r="AW24" s="198"/>
      <c r="AX24" s="198"/>
      <c r="AY24" s="429"/>
      <c r="AZ24" s="430"/>
      <c r="BA24" s="198"/>
      <c r="BB24" s="198"/>
      <c r="BC24" s="198"/>
      <c r="BD24" s="198"/>
      <c r="BE24" s="198"/>
      <c r="BF24" s="198"/>
      <c r="BG24" s="198"/>
      <c r="BH24" s="198"/>
      <c r="BI24" s="430"/>
      <c r="BJ24" s="213"/>
      <c r="BK24" s="198"/>
      <c r="BL24" s="198"/>
      <c r="BM24" s="198"/>
      <c r="BN24" s="198"/>
      <c r="BO24" s="198"/>
      <c r="BP24" s="198"/>
      <c r="BQ24" s="198"/>
      <c r="BR24" s="198"/>
      <c r="BS24" s="429"/>
      <c r="BT24" s="430"/>
      <c r="BU24" s="198"/>
      <c r="BV24" s="198"/>
      <c r="BW24" s="198"/>
      <c r="BX24" s="198"/>
      <c r="BY24" s="198"/>
      <c r="BZ24" s="198"/>
      <c r="CA24" s="198"/>
      <c r="CB24" s="198"/>
      <c r="CC24" s="430"/>
      <c r="CD24" s="213"/>
      <c r="CE24" s="198"/>
      <c r="CF24" s="198"/>
      <c r="CG24" s="198"/>
      <c r="CH24" s="198"/>
      <c r="CI24" s="467"/>
      <c r="CJ24" s="198"/>
      <c r="CK24" s="198"/>
      <c r="CL24" s="198"/>
      <c r="CM24" s="198"/>
      <c r="CN24" s="467"/>
      <c r="CO24" s="198"/>
      <c r="CP24" s="198"/>
      <c r="CQ24" s="198"/>
      <c r="CR24" s="198"/>
      <c r="CS24" s="467"/>
    </row>
    <row r="25" spans="1:131" ht="15.75" customHeight="1" x14ac:dyDescent="0.25">
      <c r="A25" s="94" t="s">
        <v>374</v>
      </c>
      <c r="B25" s="343">
        <v>6</v>
      </c>
      <c r="C25" s="257"/>
      <c r="D25" s="257"/>
      <c r="E25" s="257"/>
      <c r="F25" s="257"/>
      <c r="G25" s="257"/>
      <c r="H25" s="257"/>
      <c r="I25" s="257"/>
      <c r="J25" s="257"/>
      <c r="K25" s="460">
        <f t="shared" ref="K25:K30" si="44">SUM(C25:J25)</f>
        <v>0</v>
      </c>
      <c r="L25" s="465"/>
      <c r="M25" s="257"/>
      <c r="N25" s="257"/>
      <c r="O25" s="257"/>
      <c r="P25" s="257"/>
      <c r="Q25" s="257"/>
      <c r="R25" s="257"/>
      <c r="S25" s="257"/>
      <c r="T25" s="462">
        <f t="shared" ref="T25:T30" si="45">SUM(L25:S25)</f>
        <v>0</v>
      </c>
      <c r="U25" s="463">
        <f t="shared" ref="U25:U30" si="46">SUM(K25,T25)</f>
        <v>0</v>
      </c>
      <c r="V25" s="343">
        <v>6</v>
      </c>
      <c r="W25" s="257"/>
      <c r="X25" s="257"/>
      <c r="Y25" s="257"/>
      <c r="Z25" s="257"/>
      <c r="AA25" s="257"/>
      <c r="AB25" s="257"/>
      <c r="AC25" s="257"/>
      <c r="AD25" s="257"/>
      <c r="AE25" s="460">
        <f t="shared" ref="AE25:AE30" si="47">SUM(W25:AD25)</f>
        <v>0</v>
      </c>
      <c r="AF25" s="465"/>
      <c r="AG25" s="257"/>
      <c r="AH25" s="257"/>
      <c r="AI25" s="257"/>
      <c r="AJ25" s="257"/>
      <c r="AK25" s="257"/>
      <c r="AL25" s="257"/>
      <c r="AM25" s="257"/>
      <c r="AN25" s="462">
        <f t="shared" ref="AN25:AN30" si="48">SUM(AF25:AM25)</f>
        <v>0</v>
      </c>
      <c r="AO25" s="463">
        <f t="shared" ref="AO25:AO30" si="49">SUM(AE25,AN25)</f>
        <v>0</v>
      </c>
      <c r="AP25" s="343">
        <v>6</v>
      </c>
      <c r="AQ25" s="257"/>
      <c r="AR25" s="257"/>
      <c r="AS25" s="257"/>
      <c r="AT25" s="257"/>
      <c r="AU25" s="257"/>
      <c r="AV25" s="257"/>
      <c r="AW25" s="257"/>
      <c r="AX25" s="257"/>
      <c r="AY25" s="460">
        <f t="shared" ref="AY25:AY30" si="50">SUM(AQ25:AX25)</f>
        <v>0</v>
      </c>
      <c r="AZ25" s="465"/>
      <c r="BA25" s="257"/>
      <c r="BB25" s="257"/>
      <c r="BC25" s="257"/>
      <c r="BD25" s="257"/>
      <c r="BE25" s="257"/>
      <c r="BF25" s="257"/>
      <c r="BG25" s="257"/>
      <c r="BH25" s="462">
        <f t="shared" ref="BH25:BH30" si="51">SUM(AZ25:BG25)</f>
        <v>0</v>
      </c>
      <c r="BI25" s="463">
        <f t="shared" ref="BI25:BI30" si="52">SUM(AY25,BH25)</f>
        <v>0</v>
      </c>
      <c r="BJ25" s="343">
        <v>6</v>
      </c>
      <c r="BK25" s="257">
        <v>5181.7550473832807</v>
      </c>
      <c r="BL25" s="257">
        <v>88137.644942446103</v>
      </c>
      <c r="BM25" s="257">
        <v>4084.6050346873171</v>
      </c>
      <c r="BN25" s="257">
        <v>92247.683427778262</v>
      </c>
      <c r="BO25" s="257">
        <v>6024.3851210795719</v>
      </c>
      <c r="BP25" s="257">
        <v>96077.952715180698</v>
      </c>
      <c r="BQ25" s="257">
        <v>27145.745532148521</v>
      </c>
      <c r="BR25" s="257">
        <v>381753.46595596912</v>
      </c>
      <c r="BS25" s="460">
        <f t="shared" ref="BS25:BS30" si="53">SUM(BK25:BR25)</f>
        <v>700653.23777667293</v>
      </c>
      <c r="BT25" s="465"/>
      <c r="BU25" s="257"/>
      <c r="BV25" s="257"/>
      <c r="BW25" s="257"/>
      <c r="BX25" s="257"/>
      <c r="BY25" s="257"/>
      <c r="BZ25" s="257"/>
      <c r="CA25" s="257"/>
      <c r="CB25" s="462">
        <f t="shared" ref="CB25:CB30" si="54">SUM(BT25:CA25)</f>
        <v>0</v>
      </c>
      <c r="CC25" s="463">
        <f t="shared" ref="CC25:CC30" si="55">SUM(BS25,CB25)</f>
        <v>700653.23777667293</v>
      </c>
      <c r="CD25" s="343">
        <v>6</v>
      </c>
      <c r="CE25" s="462">
        <f t="shared" ref="CE25:CE30" si="56">+C25+D25+W25+X25+AQ25+AR25+BK25+BL25</f>
        <v>93319.399989829384</v>
      </c>
      <c r="CF25" s="462">
        <f t="shared" ref="CF25:CF30" si="57">+E25+F25+Y25+Z25+AS25+AT25+BM25+BN25</f>
        <v>96332.288462465585</v>
      </c>
      <c r="CG25" s="462">
        <f t="shared" ref="CG25:CG30" si="58">+G25+H25+AA25+AB25+AU25+AV25+BO25+BP25</f>
        <v>102102.33783626027</v>
      </c>
      <c r="CH25" s="462">
        <f t="shared" ref="CH25:CH30" si="59">+I25+J25+AC25+AD25+AW25+AX25+BQ25+BR25</f>
        <v>408899.21148811764</v>
      </c>
      <c r="CI25" s="464">
        <f t="shared" ref="CI25:CI30" si="60">SUM(K25,AE25,AY25,BS25)</f>
        <v>700653.23777667293</v>
      </c>
      <c r="CJ25" s="462">
        <f t="shared" ref="CJ25:CJ30" si="61">L25+M25+AF25+AG25+AZ25+BA25+BT25+BU25</f>
        <v>0</v>
      </c>
      <c r="CK25" s="462">
        <f t="shared" ref="CK25:CK30" si="62">N25+O25+AH25+AI25+BB25+BC25+BV25+BW25</f>
        <v>0</v>
      </c>
      <c r="CL25" s="462">
        <f t="shared" ref="CL25:CL30" si="63">P25+Q25+AJ25+AK25+BD25+BE25+BX25+BY25</f>
        <v>0</v>
      </c>
      <c r="CM25" s="462">
        <f t="shared" ref="CM25:CM30" si="64">+R25+S25+AL25+AM25+BF25+BG25+BZ25+CA25</f>
        <v>0</v>
      </c>
      <c r="CN25" s="464">
        <f t="shared" ref="CN25:CN30" si="65">SUM(T25,AN25,BH25,CB25)</f>
        <v>0</v>
      </c>
      <c r="CO25" s="462">
        <f t="shared" ref="CO25:CO30" si="66">+C25+D25+L25+M25+W25+X25+AF25+AG25+AQ25+AR25+AZ25+BA25+BK25+BL25+BT25+BU25</f>
        <v>93319.399989829384</v>
      </c>
      <c r="CP25" s="462">
        <f t="shared" ref="CP25:CP30" si="67">+E25+F25+N25+O25+Y25+Z25+AH25+AI25+AS25+AT25+BB25+BC25+BM25+BN25+BV25+BW25</f>
        <v>96332.288462465585</v>
      </c>
      <c r="CQ25" s="462">
        <f t="shared" ref="CQ25:CQ30" si="68">+G25+H25+P25+Q25+AA25+AB25+AJ25+AK25+AU25+AV25+BD25+BE25+BO25+BP25+BX25+BY25</f>
        <v>102102.33783626027</v>
      </c>
      <c r="CR25" s="462">
        <f t="shared" ref="CR25:CR30" si="69">+I25+J25+R25+S25+AC25+AD25+AL25+AM25+AW25+AX25+BF25+BG25+BQ25+BR25+BZ25+CA25</f>
        <v>408899.21148811764</v>
      </c>
      <c r="CS25" s="464">
        <f t="shared" ref="CS25:CS30" si="70">SUM(CC25,BI25,AO25,U25)</f>
        <v>700653.23777667293</v>
      </c>
      <c r="CT25" s="362"/>
      <c r="CU25" s="362"/>
      <c r="CV25" s="362"/>
      <c r="CW25" s="362"/>
      <c r="CX25" s="362"/>
    </row>
    <row r="26" spans="1:131" ht="15.75" customHeight="1" x14ac:dyDescent="0.25">
      <c r="A26" s="94" t="s">
        <v>139</v>
      </c>
      <c r="B26" s="343">
        <v>7</v>
      </c>
      <c r="C26" s="257"/>
      <c r="D26" s="257"/>
      <c r="E26" s="257"/>
      <c r="F26" s="257"/>
      <c r="G26" s="257"/>
      <c r="H26" s="257"/>
      <c r="I26" s="257"/>
      <c r="J26" s="257"/>
      <c r="K26" s="460">
        <f t="shared" si="44"/>
        <v>0</v>
      </c>
      <c r="L26" s="465"/>
      <c r="M26" s="257"/>
      <c r="N26" s="257"/>
      <c r="O26" s="257"/>
      <c r="P26" s="257"/>
      <c r="Q26" s="257"/>
      <c r="R26" s="257"/>
      <c r="S26" s="257"/>
      <c r="T26" s="462">
        <f t="shared" si="45"/>
        <v>0</v>
      </c>
      <c r="U26" s="463">
        <f t="shared" si="46"/>
        <v>0</v>
      </c>
      <c r="V26" s="343">
        <v>7</v>
      </c>
      <c r="W26" s="257"/>
      <c r="X26" s="257"/>
      <c r="Y26" s="257"/>
      <c r="Z26" s="257"/>
      <c r="AA26" s="257"/>
      <c r="AB26" s="257"/>
      <c r="AC26" s="257"/>
      <c r="AD26" s="257"/>
      <c r="AE26" s="460">
        <f t="shared" si="47"/>
        <v>0</v>
      </c>
      <c r="AF26" s="465"/>
      <c r="AG26" s="257"/>
      <c r="AH26" s="257"/>
      <c r="AI26" s="257"/>
      <c r="AJ26" s="257"/>
      <c r="AK26" s="257"/>
      <c r="AL26" s="257"/>
      <c r="AM26" s="257"/>
      <c r="AN26" s="462">
        <f t="shared" si="48"/>
        <v>0</v>
      </c>
      <c r="AO26" s="463">
        <f t="shared" si="49"/>
        <v>0</v>
      </c>
      <c r="AP26" s="343">
        <v>7</v>
      </c>
      <c r="AQ26" s="257"/>
      <c r="AR26" s="257"/>
      <c r="AS26" s="257"/>
      <c r="AT26" s="257"/>
      <c r="AU26" s="257"/>
      <c r="AV26" s="257"/>
      <c r="AW26" s="257"/>
      <c r="AX26" s="257"/>
      <c r="AY26" s="460">
        <f t="shared" si="50"/>
        <v>0</v>
      </c>
      <c r="AZ26" s="465"/>
      <c r="BA26" s="257"/>
      <c r="BB26" s="257"/>
      <c r="BC26" s="257"/>
      <c r="BD26" s="257"/>
      <c r="BE26" s="257"/>
      <c r="BF26" s="257"/>
      <c r="BG26" s="257"/>
      <c r="BH26" s="462">
        <f t="shared" si="51"/>
        <v>0</v>
      </c>
      <c r="BI26" s="463">
        <f t="shared" si="52"/>
        <v>0</v>
      </c>
      <c r="BJ26" s="343">
        <v>7</v>
      </c>
      <c r="BK26" s="257"/>
      <c r="BL26" s="257"/>
      <c r="BM26" s="257"/>
      <c r="BN26" s="257"/>
      <c r="BO26" s="257"/>
      <c r="BP26" s="257"/>
      <c r="BQ26" s="257"/>
      <c r="BR26" s="257"/>
      <c r="BS26" s="460">
        <f t="shared" si="53"/>
        <v>0</v>
      </c>
      <c r="BT26" s="465"/>
      <c r="BU26" s="257"/>
      <c r="BV26" s="257"/>
      <c r="BW26" s="257"/>
      <c r="BX26" s="257"/>
      <c r="BY26" s="257"/>
      <c r="BZ26" s="257"/>
      <c r="CA26" s="257"/>
      <c r="CB26" s="462">
        <f t="shared" si="54"/>
        <v>0</v>
      </c>
      <c r="CC26" s="463">
        <f t="shared" si="55"/>
        <v>0</v>
      </c>
      <c r="CD26" s="343">
        <v>7</v>
      </c>
      <c r="CE26" s="462">
        <f t="shared" si="56"/>
        <v>0</v>
      </c>
      <c r="CF26" s="462">
        <f t="shared" si="57"/>
        <v>0</v>
      </c>
      <c r="CG26" s="462">
        <f t="shared" si="58"/>
        <v>0</v>
      </c>
      <c r="CH26" s="462">
        <f t="shared" si="59"/>
        <v>0</v>
      </c>
      <c r="CI26" s="464">
        <f t="shared" si="60"/>
        <v>0</v>
      </c>
      <c r="CJ26" s="462">
        <f t="shared" si="61"/>
        <v>0</v>
      </c>
      <c r="CK26" s="462">
        <f t="shared" si="62"/>
        <v>0</v>
      </c>
      <c r="CL26" s="462">
        <f t="shared" si="63"/>
        <v>0</v>
      </c>
      <c r="CM26" s="462">
        <f t="shared" si="64"/>
        <v>0</v>
      </c>
      <c r="CN26" s="464">
        <f t="shared" si="65"/>
        <v>0</v>
      </c>
      <c r="CO26" s="462">
        <f t="shared" si="66"/>
        <v>0</v>
      </c>
      <c r="CP26" s="462">
        <f t="shared" si="67"/>
        <v>0</v>
      </c>
      <c r="CQ26" s="462">
        <f t="shared" si="68"/>
        <v>0</v>
      </c>
      <c r="CR26" s="462">
        <f t="shared" si="69"/>
        <v>0</v>
      </c>
      <c r="CS26" s="464">
        <f t="shared" si="70"/>
        <v>0</v>
      </c>
      <c r="CT26" s="362"/>
      <c r="CV26" s="362"/>
      <c r="CX26" s="362"/>
    </row>
    <row r="27" spans="1:131" ht="15.75" customHeight="1" x14ac:dyDescent="0.25">
      <c r="A27" s="94" t="s">
        <v>137</v>
      </c>
      <c r="B27" s="343">
        <v>8</v>
      </c>
      <c r="C27" s="257"/>
      <c r="D27" s="257"/>
      <c r="E27" s="257"/>
      <c r="F27" s="257"/>
      <c r="G27" s="257"/>
      <c r="H27" s="257"/>
      <c r="I27" s="257"/>
      <c r="J27" s="257"/>
      <c r="K27" s="460">
        <f t="shared" si="44"/>
        <v>0</v>
      </c>
      <c r="L27" s="465"/>
      <c r="M27" s="257"/>
      <c r="N27" s="257"/>
      <c r="O27" s="257"/>
      <c r="P27" s="257"/>
      <c r="Q27" s="257"/>
      <c r="R27" s="257"/>
      <c r="S27" s="257"/>
      <c r="T27" s="462">
        <f t="shared" si="45"/>
        <v>0</v>
      </c>
      <c r="U27" s="463">
        <f t="shared" si="46"/>
        <v>0</v>
      </c>
      <c r="V27" s="343">
        <v>8</v>
      </c>
      <c r="W27" s="257"/>
      <c r="X27" s="257"/>
      <c r="Y27" s="257"/>
      <c r="Z27" s="257"/>
      <c r="AA27" s="257"/>
      <c r="AB27" s="257"/>
      <c r="AC27" s="257"/>
      <c r="AD27" s="257"/>
      <c r="AE27" s="460">
        <f t="shared" si="47"/>
        <v>0</v>
      </c>
      <c r="AF27" s="465"/>
      <c r="AG27" s="257"/>
      <c r="AH27" s="257"/>
      <c r="AI27" s="257"/>
      <c r="AJ27" s="257"/>
      <c r="AK27" s="257"/>
      <c r="AL27" s="257"/>
      <c r="AM27" s="257"/>
      <c r="AN27" s="462">
        <f t="shared" si="48"/>
        <v>0</v>
      </c>
      <c r="AO27" s="463">
        <f t="shared" si="49"/>
        <v>0</v>
      </c>
      <c r="AP27" s="343">
        <v>8</v>
      </c>
      <c r="AQ27" s="257"/>
      <c r="AR27" s="257"/>
      <c r="AS27" s="257"/>
      <c r="AT27" s="257"/>
      <c r="AU27" s="257"/>
      <c r="AV27" s="257"/>
      <c r="AW27" s="257"/>
      <c r="AX27" s="257"/>
      <c r="AY27" s="460">
        <f t="shared" si="50"/>
        <v>0</v>
      </c>
      <c r="AZ27" s="465"/>
      <c r="BA27" s="257"/>
      <c r="BB27" s="257"/>
      <c r="BC27" s="257"/>
      <c r="BD27" s="257"/>
      <c r="BE27" s="257"/>
      <c r="BF27" s="257"/>
      <c r="BG27" s="257"/>
      <c r="BH27" s="462">
        <f t="shared" si="51"/>
        <v>0</v>
      </c>
      <c r="BI27" s="463">
        <f t="shared" si="52"/>
        <v>0</v>
      </c>
      <c r="BJ27" s="343">
        <v>8</v>
      </c>
      <c r="BK27" s="257"/>
      <c r="BL27" s="257"/>
      <c r="BM27" s="257"/>
      <c r="BN27" s="257"/>
      <c r="BO27" s="257"/>
      <c r="BP27" s="257"/>
      <c r="BQ27" s="257"/>
      <c r="BR27" s="257"/>
      <c r="BS27" s="460">
        <f t="shared" si="53"/>
        <v>0</v>
      </c>
      <c r="BT27" s="465"/>
      <c r="BU27" s="257"/>
      <c r="BV27" s="257"/>
      <c r="BW27" s="257"/>
      <c r="BX27" s="257"/>
      <c r="BY27" s="257"/>
      <c r="BZ27" s="257"/>
      <c r="CA27" s="257"/>
      <c r="CB27" s="462">
        <f t="shared" si="54"/>
        <v>0</v>
      </c>
      <c r="CC27" s="463">
        <f t="shared" si="55"/>
        <v>0</v>
      </c>
      <c r="CD27" s="343">
        <v>8</v>
      </c>
      <c r="CE27" s="462">
        <f t="shared" si="56"/>
        <v>0</v>
      </c>
      <c r="CF27" s="462">
        <f t="shared" si="57"/>
        <v>0</v>
      </c>
      <c r="CG27" s="462">
        <f t="shared" si="58"/>
        <v>0</v>
      </c>
      <c r="CH27" s="462">
        <f t="shared" si="59"/>
        <v>0</v>
      </c>
      <c r="CI27" s="464">
        <f t="shared" si="60"/>
        <v>0</v>
      </c>
      <c r="CJ27" s="462">
        <f t="shared" si="61"/>
        <v>0</v>
      </c>
      <c r="CK27" s="462">
        <f t="shared" si="62"/>
        <v>0</v>
      </c>
      <c r="CL27" s="462">
        <f t="shared" si="63"/>
        <v>0</v>
      </c>
      <c r="CM27" s="462">
        <f t="shared" si="64"/>
        <v>0</v>
      </c>
      <c r="CN27" s="464">
        <f t="shared" si="65"/>
        <v>0</v>
      </c>
      <c r="CO27" s="462">
        <f t="shared" si="66"/>
        <v>0</v>
      </c>
      <c r="CP27" s="462">
        <f t="shared" si="67"/>
        <v>0</v>
      </c>
      <c r="CQ27" s="462">
        <f t="shared" si="68"/>
        <v>0</v>
      </c>
      <c r="CR27" s="462">
        <f t="shared" si="69"/>
        <v>0</v>
      </c>
      <c r="CS27" s="464">
        <f t="shared" si="70"/>
        <v>0</v>
      </c>
      <c r="CT27" s="362"/>
      <c r="CV27" s="362"/>
      <c r="CX27" s="362"/>
    </row>
    <row r="28" spans="1:131" ht="15.75" customHeight="1" x14ac:dyDescent="0.25">
      <c r="A28" s="94" t="s">
        <v>1308</v>
      </c>
      <c r="B28" s="343">
        <v>9</v>
      </c>
      <c r="C28" s="257"/>
      <c r="D28" s="257"/>
      <c r="E28" s="257"/>
      <c r="F28" s="257"/>
      <c r="G28" s="257"/>
      <c r="H28" s="257"/>
      <c r="I28" s="257"/>
      <c r="J28" s="257"/>
      <c r="K28" s="460">
        <f t="shared" si="44"/>
        <v>0</v>
      </c>
      <c r="L28" s="465"/>
      <c r="M28" s="257"/>
      <c r="N28" s="257"/>
      <c r="O28" s="257"/>
      <c r="P28" s="257"/>
      <c r="Q28" s="257"/>
      <c r="R28" s="257"/>
      <c r="S28" s="257"/>
      <c r="T28" s="462">
        <f t="shared" si="45"/>
        <v>0</v>
      </c>
      <c r="U28" s="463">
        <f t="shared" si="46"/>
        <v>0</v>
      </c>
      <c r="V28" s="343">
        <v>9</v>
      </c>
      <c r="W28" s="257"/>
      <c r="X28" s="257"/>
      <c r="Y28" s="257"/>
      <c r="Z28" s="257"/>
      <c r="AA28" s="257"/>
      <c r="AB28" s="257"/>
      <c r="AC28" s="257"/>
      <c r="AD28" s="257"/>
      <c r="AE28" s="460">
        <f t="shared" si="47"/>
        <v>0</v>
      </c>
      <c r="AF28" s="465"/>
      <c r="AG28" s="257"/>
      <c r="AH28" s="257"/>
      <c r="AI28" s="257"/>
      <c r="AJ28" s="257"/>
      <c r="AK28" s="257"/>
      <c r="AL28" s="257"/>
      <c r="AM28" s="257"/>
      <c r="AN28" s="462">
        <f t="shared" si="48"/>
        <v>0</v>
      </c>
      <c r="AO28" s="463">
        <f t="shared" si="49"/>
        <v>0</v>
      </c>
      <c r="AP28" s="343">
        <v>9</v>
      </c>
      <c r="AQ28" s="257"/>
      <c r="AR28" s="257"/>
      <c r="AS28" s="257"/>
      <c r="AT28" s="257"/>
      <c r="AU28" s="257"/>
      <c r="AV28" s="257"/>
      <c r="AW28" s="257"/>
      <c r="AX28" s="257"/>
      <c r="AY28" s="460">
        <f t="shared" si="50"/>
        <v>0</v>
      </c>
      <c r="AZ28" s="465"/>
      <c r="BA28" s="257"/>
      <c r="BB28" s="257"/>
      <c r="BC28" s="257"/>
      <c r="BD28" s="257"/>
      <c r="BE28" s="257"/>
      <c r="BF28" s="257"/>
      <c r="BG28" s="257"/>
      <c r="BH28" s="462">
        <f t="shared" si="51"/>
        <v>0</v>
      </c>
      <c r="BI28" s="463">
        <f t="shared" si="52"/>
        <v>0</v>
      </c>
      <c r="BJ28" s="343">
        <v>9</v>
      </c>
      <c r="BK28" s="257"/>
      <c r="BL28" s="257"/>
      <c r="BM28" s="257"/>
      <c r="BN28" s="257"/>
      <c r="BO28" s="257"/>
      <c r="BP28" s="257"/>
      <c r="BQ28" s="257"/>
      <c r="BR28" s="257"/>
      <c r="BS28" s="460">
        <f t="shared" si="53"/>
        <v>0</v>
      </c>
      <c r="BT28" s="465"/>
      <c r="BU28" s="257"/>
      <c r="BV28" s="257"/>
      <c r="BW28" s="257"/>
      <c r="BX28" s="257"/>
      <c r="BY28" s="257"/>
      <c r="BZ28" s="257"/>
      <c r="CA28" s="257"/>
      <c r="CB28" s="462">
        <f t="shared" si="54"/>
        <v>0</v>
      </c>
      <c r="CC28" s="463">
        <f t="shared" si="55"/>
        <v>0</v>
      </c>
      <c r="CD28" s="343">
        <v>9</v>
      </c>
      <c r="CE28" s="462">
        <f t="shared" si="56"/>
        <v>0</v>
      </c>
      <c r="CF28" s="462">
        <f t="shared" si="57"/>
        <v>0</v>
      </c>
      <c r="CG28" s="462">
        <f t="shared" si="58"/>
        <v>0</v>
      </c>
      <c r="CH28" s="462">
        <f t="shared" si="59"/>
        <v>0</v>
      </c>
      <c r="CI28" s="464">
        <f t="shared" si="60"/>
        <v>0</v>
      </c>
      <c r="CJ28" s="462">
        <f t="shared" si="61"/>
        <v>0</v>
      </c>
      <c r="CK28" s="462">
        <f t="shared" si="62"/>
        <v>0</v>
      </c>
      <c r="CL28" s="462">
        <f t="shared" si="63"/>
        <v>0</v>
      </c>
      <c r="CM28" s="462">
        <f t="shared" si="64"/>
        <v>0</v>
      </c>
      <c r="CN28" s="464">
        <f t="shared" si="65"/>
        <v>0</v>
      </c>
      <c r="CO28" s="462">
        <f t="shared" si="66"/>
        <v>0</v>
      </c>
      <c r="CP28" s="462">
        <f t="shared" si="67"/>
        <v>0</v>
      </c>
      <c r="CQ28" s="462">
        <f t="shared" si="68"/>
        <v>0</v>
      </c>
      <c r="CR28" s="462">
        <f t="shared" si="69"/>
        <v>0</v>
      </c>
      <c r="CS28" s="464">
        <f t="shared" si="70"/>
        <v>0</v>
      </c>
      <c r="CT28" s="362"/>
      <c r="CV28" s="362"/>
      <c r="CX28" s="362"/>
    </row>
    <row r="29" spans="1:131" ht="15.75" customHeight="1" x14ac:dyDescent="0.25">
      <c r="A29" s="94" t="s">
        <v>140</v>
      </c>
      <c r="B29" s="343">
        <v>10</v>
      </c>
      <c r="C29" s="257">
        <v>0</v>
      </c>
      <c r="D29" s="257">
        <v>0</v>
      </c>
      <c r="E29" s="257">
        <v>0</v>
      </c>
      <c r="F29" s="257">
        <v>0</v>
      </c>
      <c r="G29" s="257">
        <v>0</v>
      </c>
      <c r="H29" s="257">
        <v>0</v>
      </c>
      <c r="I29" s="257">
        <v>0</v>
      </c>
      <c r="J29" s="257">
        <v>0</v>
      </c>
      <c r="K29" s="460">
        <f t="shared" si="44"/>
        <v>0</v>
      </c>
      <c r="L29" s="465">
        <v>0</v>
      </c>
      <c r="M29" s="257">
        <v>1.3876719342626624E-5</v>
      </c>
      <c r="N29" s="257">
        <v>0</v>
      </c>
      <c r="O29" s="257">
        <v>1.1664158138018765E-5</v>
      </c>
      <c r="P29" s="257">
        <v>0</v>
      </c>
      <c r="Q29" s="257">
        <v>1.2412006368309348E-5</v>
      </c>
      <c r="R29" s="257">
        <v>0</v>
      </c>
      <c r="S29" s="257">
        <v>1.2443743980604055E-5</v>
      </c>
      <c r="T29" s="462">
        <f t="shared" si="45"/>
        <v>5.0396627829558791E-5</v>
      </c>
      <c r="U29" s="463">
        <f t="shared" si="46"/>
        <v>5.0396627829558791E-5</v>
      </c>
      <c r="V29" s="343">
        <v>10</v>
      </c>
      <c r="W29" s="257">
        <v>0</v>
      </c>
      <c r="X29" s="257">
        <v>0</v>
      </c>
      <c r="Y29" s="257">
        <v>0</v>
      </c>
      <c r="Z29" s="257">
        <v>0</v>
      </c>
      <c r="AA29" s="257">
        <v>0</v>
      </c>
      <c r="AB29" s="257">
        <v>0</v>
      </c>
      <c r="AC29" s="257">
        <v>0</v>
      </c>
      <c r="AD29" s="257">
        <v>0</v>
      </c>
      <c r="AE29" s="460">
        <f t="shared" si="47"/>
        <v>0</v>
      </c>
      <c r="AF29" s="465">
        <v>0</v>
      </c>
      <c r="AG29" s="257">
        <v>5.9104904346744028E-6</v>
      </c>
      <c r="AH29" s="257">
        <v>0</v>
      </c>
      <c r="AI29" s="257">
        <v>5.238911076721799E-6</v>
      </c>
      <c r="AJ29" s="257">
        <v>0</v>
      </c>
      <c r="AK29" s="257">
        <v>5.797326317025444E-6</v>
      </c>
      <c r="AL29" s="257">
        <v>0</v>
      </c>
      <c r="AM29" s="257">
        <v>6.2251282879293465E-6</v>
      </c>
      <c r="AN29" s="462">
        <f t="shared" si="48"/>
        <v>2.3171856116350994E-5</v>
      </c>
      <c r="AO29" s="463">
        <f t="shared" si="49"/>
        <v>2.3171856116350994E-5</v>
      </c>
      <c r="AP29" s="343">
        <v>10</v>
      </c>
      <c r="AQ29" s="257">
        <v>0</v>
      </c>
      <c r="AR29" s="257">
        <v>0</v>
      </c>
      <c r="AS29" s="257">
        <v>0</v>
      </c>
      <c r="AT29" s="257">
        <v>0</v>
      </c>
      <c r="AU29" s="257">
        <v>0</v>
      </c>
      <c r="AV29" s="257">
        <v>0</v>
      </c>
      <c r="AW29" s="257">
        <v>0</v>
      </c>
      <c r="AX29" s="257">
        <v>0</v>
      </c>
      <c r="AY29" s="460">
        <f t="shared" si="50"/>
        <v>0</v>
      </c>
      <c r="AZ29" s="465">
        <v>0</v>
      </c>
      <c r="BA29" s="257">
        <v>1.2790363668880775E-4</v>
      </c>
      <c r="BB29" s="257">
        <v>0</v>
      </c>
      <c r="BC29" s="257">
        <v>9.835911196344974E-5</v>
      </c>
      <c r="BD29" s="257">
        <v>0</v>
      </c>
      <c r="BE29" s="257">
        <v>1.1128483916676834E-4</v>
      </c>
      <c r="BF29" s="257">
        <v>0</v>
      </c>
      <c r="BG29" s="257">
        <v>1.1015176092730574E-4</v>
      </c>
      <c r="BH29" s="462">
        <f t="shared" si="51"/>
        <v>4.4769934874633159E-4</v>
      </c>
      <c r="BI29" s="463">
        <f t="shared" si="52"/>
        <v>4.4769934874633159E-4</v>
      </c>
      <c r="BJ29" s="343">
        <v>10</v>
      </c>
      <c r="BK29" s="257">
        <v>0</v>
      </c>
      <c r="BL29" s="257">
        <v>0</v>
      </c>
      <c r="BM29" s="257">
        <v>0</v>
      </c>
      <c r="BN29" s="257">
        <v>0</v>
      </c>
      <c r="BO29" s="257">
        <v>0</v>
      </c>
      <c r="BP29" s="257">
        <v>0</v>
      </c>
      <c r="BQ29" s="257">
        <v>0</v>
      </c>
      <c r="BR29" s="257">
        <v>0</v>
      </c>
      <c r="BS29" s="460">
        <f t="shared" si="53"/>
        <v>0</v>
      </c>
      <c r="BT29" s="465">
        <v>0</v>
      </c>
      <c r="BU29" s="257">
        <v>5.2454562297851364E-6</v>
      </c>
      <c r="BV29" s="257">
        <v>0</v>
      </c>
      <c r="BW29" s="257">
        <v>4.6632270664250532E-6</v>
      </c>
      <c r="BX29" s="257">
        <v>0</v>
      </c>
      <c r="BY29" s="257">
        <v>4.6854496423727135E-6</v>
      </c>
      <c r="BZ29" s="257">
        <v>0</v>
      </c>
      <c r="CA29" s="257">
        <v>5.4321574015648814E-6</v>
      </c>
      <c r="CB29" s="462">
        <f t="shared" si="54"/>
        <v>2.0026290340147782E-5</v>
      </c>
      <c r="CC29" s="463">
        <f t="shared" si="55"/>
        <v>2.0026290340147782E-5</v>
      </c>
      <c r="CD29" s="343">
        <v>10</v>
      </c>
      <c r="CE29" s="462">
        <f t="shared" si="56"/>
        <v>0</v>
      </c>
      <c r="CF29" s="462">
        <f t="shared" si="57"/>
        <v>0</v>
      </c>
      <c r="CG29" s="462">
        <f t="shared" si="58"/>
        <v>0</v>
      </c>
      <c r="CH29" s="462">
        <f t="shared" si="59"/>
        <v>0</v>
      </c>
      <c r="CI29" s="464">
        <f t="shared" si="60"/>
        <v>0</v>
      </c>
      <c r="CJ29" s="462">
        <f t="shared" si="61"/>
        <v>1.5293630269589393E-4</v>
      </c>
      <c r="CK29" s="462">
        <f t="shared" si="62"/>
        <v>1.1992540824461535E-4</v>
      </c>
      <c r="CL29" s="462">
        <f t="shared" si="63"/>
        <v>1.3417962149447587E-4</v>
      </c>
      <c r="CM29" s="462">
        <f t="shared" si="64"/>
        <v>1.3425279059740402E-4</v>
      </c>
      <c r="CN29" s="464">
        <f t="shared" si="65"/>
        <v>5.4129412303238918E-4</v>
      </c>
      <c r="CO29" s="462">
        <f t="shared" si="66"/>
        <v>1.5293630269589393E-4</v>
      </c>
      <c r="CP29" s="462">
        <f t="shared" si="67"/>
        <v>1.1992540824461535E-4</v>
      </c>
      <c r="CQ29" s="462">
        <f t="shared" si="68"/>
        <v>1.3417962149447587E-4</v>
      </c>
      <c r="CR29" s="462">
        <f t="shared" si="69"/>
        <v>1.3425279059740402E-4</v>
      </c>
      <c r="CS29" s="464">
        <f t="shared" si="70"/>
        <v>5.4129412303238918E-4</v>
      </c>
      <c r="CT29" s="362"/>
      <c r="CV29" s="362"/>
      <c r="CX29" s="362"/>
    </row>
    <row r="30" spans="1:131" ht="15.75" customHeight="1" x14ac:dyDescent="0.25">
      <c r="A30" s="148" t="s">
        <v>142</v>
      </c>
      <c r="B30" s="343">
        <v>11</v>
      </c>
      <c r="C30" s="150">
        <f t="shared" ref="C30:J30" si="71">SUM(C25:C29)</f>
        <v>0</v>
      </c>
      <c r="D30" s="150">
        <f t="shared" si="71"/>
        <v>0</v>
      </c>
      <c r="E30" s="150">
        <f t="shared" si="71"/>
        <v>0</v>
      </c>
      <c r="F30" s="150">
        <f t="shared" si="71"/>
        <v>0</v>
      </c>
      <c r="G30" s="150">
        <f t="shared" si="71"/>
        <v>0</v>
      </c>
      <c r="H30" s="150">
        <f t="shared" si="71"/>
        <v>0</v>
      </c>
      <c r="I30" s="150">
        <f t="shared" si="71"/>
        <v>0</v>
      </c>
      <c r="J30" s="150">
        <f t="shared" si="71"/>
        <v>0</v>
      </c>
      <c r="K30" s="460">
        <f t="shared" si="44"/>
        <v>0</v>
      </c>
      <c r="L30" s="237">
        <f t="shared" ref="L30:S30" si="72">SUM(L25:L29)</f>
        <v>0</v>
      </c>
      <c r="M30" s="150">
        <f t="shared" si="72"/>
        <v>1.3876719342626624E-5</v>
      </c>
      <c r="N30" s="150">
        <f t="shared" si="72"/>
        <v>0</v>
      </c>
      <c r="O30" s="150">
        <f t="shared" si="72"/>
        <v>1.1664158138018765E-5</v>
      </c>
      <c r="P30" s="150">
        <f t="shared" si="72"/>
        <v>0</v>
      </c>
      <c r="Q30" s="150">
        <f t="shared" si="72"/>
        <v>1.2412006368309348E-5</v>
      </c>
      <c r="R30" s="150">
        <f t="shared" si="72"/>
        <v>0</v>
      </c>
      <c r="S30" s="150">
        <f t="shared" si="72"/>
        <v>1.2443743980604055E-5</v>
      </c>
      <c r="T30" s="462">
        <f t="shared" si="45"/>
        <v>5.0396627829558791E-5</v>
      </c>
      <c r="U30" s="463">
        <f t="shared" si="46"/>
        <v>5.0396627829558791E-5</v>
      </c>
      <c r="V30" s="343">
        <v>11</v>
      </c>
      <c r="W30" s="150">
        <f t="shared" ref="W30:AD30" si="73">SUM(W25:W29)</f>
        <v>0</v>
      </c>
      <c r="X30" s="150">
        <f t="shared" si="73"/>
        <v>0</v>
      </c>
      <c r="Y30" s="150">
        <f t="shared" si="73"/>
        <v>0</v>
      </c>
      <c r="Z30" s="150">
        <f t="shared" si="73"/>
        <v>0</v>
      </c>
      <c r="AA30" s="150">
        <f t="shared" si="73"/>
        <v>0</v>
      </c>
      <c r="AB30" s="150">
        <f t="shared" si="73"/>
        <v>0</v>
      </c>
      <c r="AC30" s="150">
        <f t="shared" si="73"/>
        <v>0</v>
      </c>
      <c r="AD30" s="150">
        <f t="shared" si="73"/>
        <v>0</v>
      </c>
      <c r="AE30" s="460">
        <f t="shared" si="47"/>
        <v>0</v>
      </c>
      <c r="AF30" s="237">
        <f t="shared" ref="AF30:AM30" si="74">SUM(AF25:AF29)</f>
        <v>0</v>
      </c>
      <c r="AG30" s="150">
        <f t="shared" si="74"/>
        <v>5.9104904346744028E-6</v>
      </c>
      <c r="AH30" s="150">
        <f t="shared" si="74"/>
        <v>0</v>
      </c>
      <c r="AI30" s="150">
        <f t="shared" si="74"/>
        <v>5.238911076721799E-6</v>
      </c>
      <c r="AJ30" s="150">
        <f t="shared" si="74"/>
        <v>0</v>
      </c>
      <c r="AK30" s="150">
        <f t="shared" si="74"/>
        <v>5.797326317025444E-6</v>
      </c>
      <c r="AL30" s="150">
        <f t="shared" si="74"/>
        <v>0</v>
      </c>
      <c r="AM30" s="150">
        <f t="shared" si="74"/>
        <v>6.2251282879293465E-6</v>
      </c>
      <c r="AN30" s="462">
        <f t="shared" si="48"/>
        <v>2.3171856116350994E-5</v>
      </c>
      <c r="AO30" s="463">
        <f t="shared" si="49"/>
        <v>2.3171856116350994E-5</v>
      </c>
      <c r="AP30" s="343">
        <v>11</v>
      </c>
      <c r="AQ30" s="150">
        <f t="shared" ref="AQ30:AX30" si="75">SUM(AQ25:AQ29)</f>
        <v>0</v>
      </c>
      <c r="AR30" s="150">
        <f t="shared" si="75"/>
        <v>0</v>
      </c>
      <c r="AS30" s="150">
        <f t="shared" si="75"/>
        <v>0</v>
      </c>
      <c r="AT30" s="150">
        <f t="shared" si="75"/>
        <v>0</v>
      </c>
      <c r="AU30" s="150">
        <f t="shared" si="75"/>
        <v>0</v>
      </c>
      <c r="AV30" s="150">
        <f t="shared" si="75"/>
        <v>0</v>
      </c>
      <c r="AW30" s="150">
        <f t="shared" si="75"/>
        <v>0</v>
      </c>
      <c r="AX30" s="150">
        <f t="shared" si="75"/>
        <v>0</v>
      </c>
      <c r="AY30" s="460">
        <f t="shared" si="50"/>
        <v>0</v>
      </c>
      <c r="AZ30" s="237">
        <f t="shared" ref="AZ30:BG30" si="76">SUM(AZ25:AZ29)</f>
        <v>0</v>
      </c>
      <c r="BA30" s="150">
        <f t="shared" si="76"/>
        <v>1.2790363668880775E-4</v>
      </c>
      <c r="BB30" s="150">
        <f t="shared" si="76"/>
        <v>0</v>
      </c>
      <c r="BC30" s="150">
        <f t="shared" si="76"/>
        <v>9.835911196344974E-5</v>
      </c>
      <c r="BD30" s="150">
        <f t="shared" si="76"/>
        <v>0</v>
      </c>
      <c r="BE30" s="150">
        <f t="shared" si="76"/>
        <v>1.1128483916676834E-4</v>
      </c>
      <c r="BF30" s="150">
        <f t="shared" si="76"/>
        <v>0</v>
      </c>
      <c r="BG30" s="150">
        <f t="shared" si="76"/>
        <v>1.1015176092730574E-4</v>
      </c>
      <c r="BH30" s="462">
        <f t="shared" si="51"/>
        <v>4.4769934874633159E-4</v>
      </c>
      <c r="BI30" s="463">
        <f t="shared" si="52"/>
        <v>4.4769934874633159E-4</v>
      </c>
      <c r="BJ30" s="343">
        <v>11</v>
      </c>
      <c r="BK30" s="150">
        <f t="shared" ref="BK30:BR30" si="77">SUM(BK25:BK29)</f>
        <v>5181.7550473832807</v>
      </c>
      <c r="BL30" s="150">
        <f t="shared" si="77"/>
        <v>88137.644942446103</v>
      </c>
      <c r="BM30" s="150">
        <f t="shared" si="77"/>
        <v>4084.6050346873171</v>
      </c>
      <c r="BN30" s="150">
        <f t="shared" si="77"/>
        <v>92247.683427778262</v>
      </c>
      <c r="BO30" s="150">
        <f t="shared" si="77"/>
        <v>6024.3851210795719</v>
      </c>
      <c r="BP30" s="150">
        <f t="shared" si="77"/>
        <v>96077.952715180698</v>
      </c>
      <c r="BQ30" s="150">
        <f t="shared" si="77"/>
        <v>27145.745532148521</v>
      </c>
      <c r="BR30" s="150">
        <f t="shared" si="77"/>
        <v>381753.46595596912</v>
      </c>
      <c r="BS30" s="460">
        <f t="shared" si="53"/>
        <v>700653.23777667293</v>
      </c>
      <c r="BT30" s="237">
        <f t="shared" ref="BT30:CA30" si="78">SUM(BT25:BT29)</f>
        <v>0</v>
      </c>
      <c r="BU30" s="150">
        <f t="shared" si="78"/>
        <v>5.2454562297851364E-6</v>
      </c>
      <c r="BV30" s="150">
        <f t="shared" si="78"/>
        <v>0</v>
      </c>
      <c r="BW30" s="150">
        <f t="shared" si="78"/>
        <v>4.6632270664250532E-6</v>
      </c>
      <c r="BX30" s="150">
        <f t="shared" si="78"/>
        <v>0</v>
      </c>
      <c r="BY30" s="150">
        <f t="shared" si="78"/>
        <v>4.6854496423727135E-6</v>
      </c>
      <c r="BZ30" s="150">
        <f t="shared" si="78"/>
        <v>0</v>
      </c>
      <c r="CA30" s="150">
        <f t="shared" si="78"/>
        <v>5.4321574015648814E-6</v>
      </c>
      <c r="CB30" s="462">
        <f t="shared" si="54"/>
        <v>2.0026290340147782E-5</v>
      </c>
      <c r="CC30" s="463">
        <f t="shared" si="55"/>
        <v>700653.23779669928</v>
      </c>
      <c r="CD30" s="343">
        <v>11</v>
      </c>
      <c r="CE30" s="462">
        <f t="shared" si="56"/>
        <v>93319.399989829384</v>
      </c>
      <c r="CF30" s="462">
        <f t="shared" si="57"/>
        <v>96332.288462465585</v>
      </c>
      <c r="CG30" s="462">
        <f t="shared" si="58"/>
        <v>102102.33783626027</v>
      </c>
      <c r="CH30" s="462">
        <f t="shared" si="59"/>
        <v>408899.21148811764</v>
      </c>
      <c r="CI30" s="464">
        <f t="shared" si="60"/>
        <v>700653.23777667293</v>
      </c>
      <c r="CJ30" s="462">
        <f t="shared" si="61"/>
        <v>1.5293630269589393E-4</v>
      </c>
      <c r="CK30" s="462">
        <f t="shared" si="62"/>
        <v>1.1992540824461535E-4</v>
      </c>
      <c r="CL30" s="462">
        <f t="shared" si="63"/>
        <v>1.3417962149447587E-4</v>
      </c>
      <c r="CM30" s="462">
        <f t="shared" si="64"/>
        <v>1.3425279059740402E-4</v>
      </c>
      <c r="CN30" s="464">
        <f t="shared" si="65"/>
        <v>5.4129412303238918E-4</v>
      </c>
      <c r="CO30" s="462">
        <f t="shared" si="66"/>
        <v>93319.400142765691</v>
      </c>
      <c r="CP30" s="462">
        <f t="shared" si="67"/>
        <v>96332.288582390989</v>
      </c>
      <c r="CQ30" s="462">
        <f t="shared" si="68"/>
        <v>102102.3379704399</v>
      </c>
      <c r="CR30" s="462">
        <f t="shared" si="69"/>
        <v>408899.21162237047</v>
      </c>
      <c r="CS30" s="464">
        <f t="shared" si="70"/>
        <v>700653.23831796716</v>
      </c>
    </row>
    <row r="31" spans="1:131" ht="15.75" customHeight="1" x14ac:dyDescent="0.25">
      <c r="A31" s="148" t="s">
        <v>146</v>
      </c>
      <c r="B31" s="343"/>
      <c r="C31" s="207" t="s">
        <v>32</v>
      </c>
      <c r="D31" s="207" t="s">
        <v>32</v>
      </c>
      <c r="E31" s="207" t="s">
        <v>32</v>
      </c>
      <c r="F31" s="207" t="s">
        <v>32</v>
      </c>
      <c r="G31" s="207" t="s">
        <v>32</v>
      </c>
      <c r="H31" s="207" t="s">
        <v>32</v>
      </c>
      <c r="I31" s="207" t="s">
        <v>32</v>
      </c>
      <c r="J31" s="207" t="s">
        <v>32</v>
      </c>
      <c r="K31" s="426"/>
      <c r="L31" s="427" t="s">
        <v>32</v>
      </c>
      <c r="M31" s="207" t="s">
        <v>32</v>
      </c>
      <c r="N31" s="207" t="s">
        <v>32</v>
      </c>
      <c r="O31" s="207" t="s">
        <v>32</v>
      </c>
      <c r="P31" s="207" t="s">
        <v>32</v>
      </c>
      <c r="Q31" s="207" t="s">
        <v>32</v>
      </c>
      <c r="R31" s="207" t="s">
        <v>32</v>
      </c>
      <c r="S31" s="207" t="s">
        <v>32</v>
      </c>
      <c r="T31" s="428"/>
      <c r="U31" s="427" t="s">
        <v>32</v>
      </c>
      <c r="V31" s="343"/>
      <c r="W31" s="207" t="s">
        <v>32</v>
      </c>
      <c r="X31" s="207" t="s">
        <v>32</v>
      </c>
      <c r="Y31" s="207" t="s">
        <v>32</v>
      </c>
      <c r="Z31" s="207" t="s">
        <v>32</v>
      </c>
      <c r="AA31" s="207" t="s">
        <v>32</v>
      </c>
      <c r="AB31" s="207" t="s">
        <v>32</v>
      </c>
      <c r="AC31" s="207" t="s">
        <v>32</v>
      </c>
      <c r="AD31" s="207" t="s">
        <v>32</v>
      </c>
      <c r="AE31" s="426"/>
      <c r="AF31" s="427" t="s">
        <v>32</v>
      </c>
      <c r="AG31" s="207" t="s">
        <v>32</v>
      </c>
      <c r="AH31" s="207" t="s">
        <v>32</v>
      </c>
      <c r="AI31" s="207" t="s">
        <v>32</v>
      </c>
      <c r="AJ31" s="207" t="s">
        <v>32</v>
      </c>
      <c r="AK31" s="207" t="s">
        <v>32</v>
      </c>
      <c r="AL31" s="207" t="s">
        <v>32</v>
      </c>
      <c r="AM31" s="207" t="s">
        <v>32</v>
      </c>
      <c r="AN31" s="428"/>
      <c r="AO31" s="427" t="s">
        <v>32</v>
      </c>
      <c r="AP31" s="343"/>
      <c r="AQ31" s="207" t="s">
        <v>32</v>
      </c>
      <c r="AR31" s="207" t="s">
        <v>32</v>
      </c>
      <c r="AS31" s="207" t="s">
        <v>32</v>
      </c>
      <c r="AT31" s="207" t="s">
        <v>32</v>
      </c>
      <c r="AU31" s="207" t="s">
        <v>32</v>
      </c>
      <c r="AV31" s="207" t="s">
        <v>32</v>
      </c>
      <c r="AW31" s="207" t="s">
        <v>32</v>
      </c>
      <c r="AX31" s="207" t="s">
        <v>32</v>
      </c>
      <c r="AY31" s="426"/>
      <c r="AZ31" s="427" t="s">
        <v>32</v>
      </c>
      <c r="BA31" s="207" t="s">
        <v>32</v>
      </c>
      <c r="BB31" s="207" t="s">
        <v>32</v>
      </c>
      <c r="BC31" s="207" t="s">
        <v>32</v>
      </c>
      <c r="BD31" s="207" t="s">
        <v>32</v>
      </c>
      <c r="BE31" s="207" t="s">
        <v>32</v>
      </c>
      <c r="BF31" s="207" t="s">
        <v>32</v>
      </c>
      <c r="BG31" s="207" t="s">
        <v>32</v>
      </c>
      <c r="BH31" s="428"/>
      <c r="BI31" s="427" t="s">
        <v>32</v>
      </c>
      <c r="BJ31" s="343"/>
      <c r="BK31" s="207" t="s">
        <v>32</v>
      </c>
      <c r="BL31" s="207" t="s">
        <v>32</v>
      </c>
      <c r="BM31" s="207" t="s">
        <v>32</v>
      </c>
      <c r="BN31" s="207" t="s">
        <v>32</v>
      </c>
      <c r="BO31" s="207" t="s">
        <v>32</v>
      </c>
      <c r="BP31" s="207" t="s">
        <v>32</v>
      </c>
      <c r="BQ31" s="207" t="s">
        <v>32</v>
      </c>
      <c r="BR31" s="207" t="s">
        <v>32</v>
      </c>
      <c r="BS31" s="426"/>
      <c r="BT31" s="427" t="s">
        <v>32</v>
      </c>
      <c r="BU31" s="207" t="s">
        <v>32</v>
      </c>
      <c r="BV31" s="207" t="s">
        <v>32</v>
      </c>
      <c r="BW31" s="207" t="s">
        <v>32</v>
      </c>
      <c r="BX31" s="207" t="s">
        <v>32</v>
      </c>
      <c r="BY31" s="207" t="s">
        <v>32</v>
      </c>
      <c r="BZ31" s="207" t="s">
        <v>32</v>
      </c>
      <c r="CA31" s="207" t="s">
        <v>32</v>
      </c>
      <c r="CB31" s="428"/>
      <c r="CC31" s="427" t="s">
        <v>32</v>
      </c>
      <c r="CD31" s="343"/>
      <c r="CE31" s="428"/>
      <c r="CF31" s="428"/>
      <c r="CG31" s="428"/>
      <c r="CH31" s="428"/>
      <c r="CI31" s="207"/>
      <c r="CJ31" s="428"/>
      <c r="CK31" s="428"/>
      <c r="CL31" s="428"/>
      <c r="CM31" s="428"/>
      <c r="CN31" s="207"/>
      <c r="CO31" s="428"/>
      <c r="CP31" s="428"/>
      <c r="CQ31" s="428"/>
      <c r="CR31" s="428"/>
      <c r="CS31" s="207"/>
    </row>
    <row r="32" spans="1:131" s="17" customFormat="1" ht="15.75" customHeight="1" x14ac:dyDescent="0.25">
      <c r="A32" s="19" t="s">
        <v>45</v>
      </c>
      <c r="B32" s="343">
        <v>12</v>
      </c>
      <c r="C32" s="236">
        <f t="shared" ref="C32:U32" si="79">C23+C30</f>
        <v>107196.98</v>
      </c>
      <c r="D32" s="236">
        <f t="shared" si="79"/>
        <v>395989.91000000102</v>
      </c>
      <c r="E32" s="236">
        <f t="shared" si="79"/>
        <v>123959.94</v>
      </c>
      <c r="F32" s="236">
        <f t="shared" si="79"/>
        <v>391627.820000001</v>
      </c>
      <c r="G32" s="236">
        <f t="shared" si="79"/>
        <v>153708.1</v>
      </c>
      <c r="H32" s="236">
        <f t="shared" si="79"/>
        <v>396900.71000000101</v>
      </c>
      <c r="I32" s="236">
        <f t="shared" si="79"/>
        <v>158952.5</v>
      </c>
      <c r="J32" s="236">
        <f t="shared" si="79"/>
        <v>408934.97000000201</v>
      </c>
      <c r="K32" s="241">
        <f t="shared" si="79"/>
        <v>2137270.9300000053</v>
      </c>
      <c r="L32" s="238">
        <f t="shared" si="79"/>
        <v>0</v>
      </c>
      <c r="M32" s="236">
        <f t="shared" si="79"/>
        <v>1299008.855353761</v>
      </c>
      <c r="N32" s="236">
        <f t="shared" si="79"/>
        <v>0</v>
      </c>
      <c r="O32" s="236">
        <f t="shared" si="79"/>
        <v>1144828.67667027</v>
      </c>
      <c r="P32" s="236">
        <f t="shared" si="79"/>
        <v>0</v>
      </c>
      <c r="Q32" s="236">
        <f t="shared" si="79"/>
        <v>1261834.083547516</v>
      </c>
      <c r="R32" s="236">
        <f t="shared" si="79"/>
        <v>0</v>
      </c>
      <c r="S32" s="236">
        <f t="shared" si="79"/>
        <v>1263827.4632499369</v>
      </c>
      <c r="T32" s="239">
        <f t="shared" si="79"/>
        <v>4969499.078821484</v>
      </c>
      <c r="U32" s="238">
        <f t="shared" si="79"/>
        <v>7106770.0088214893</v>
      </c>
      <c r="V32" s="343">
        <v>12</v>
      </c>
      <c r="W32" s="236">
        <f t="shared" ref="W32:AO32" si="80">W23+W30</f>
        <v>22973.040000000001</v>
      </c>
      <c r="X32" s="236">
        <f t="shared" si="80"/>
        <v>309334.93</v>
      </c>
      <c r="Y32" s="236">
        <f t="shared" si="80"/>
        <v>16913.28</v>
      </c>
      <c r="Z32" s="236">
        <f t="shared" si="80"/>
        <v>303526.65000000002</v>
      </c>
      <c r="AA32" s="236">
        <f t="shared" si="80"/>
        <v>13883.4</v>
      </c>
      <c r="AB32" s="236">
        <f t="shared" si="80"/>
        <v>307483.95</v>
      </c>
      <c r="AC32" s="236">
        <f t="shared" si="80"/>
        <v>28482.78</v>
      </c>
      <c r="AD32" s="236">
        <f t="shared" si="80"/>
        <v>333286.80000000098</v>
      </c>
      <c r="AE32" s="241">
        <f t="shared" si="80"/>
        <v>1335884.830000001</v>
      </c>
      <c r="AF32" s="238">
        <f t="shared" si="80"/>
        <v>0</v>
      </c>
      <c r="AG32" s="236">
        <f t="shared" si="80"/>
        <v>550779.55910168018</v>
      </c>
      <c r="AH32" s="236">
        <f t="shared" si="80"/>
        <v>0</v>
      </c>
      <c r="AI32" s="236">
        <f t="shared" si="80"/>
        <v>526008.18073390413</v>
      </c>
      <c r="AJ32" s="236">
        <f t="shared" si="80"/>
        <v>0</v>
      </c>
      <c r="AK32" s="236">
        <f t="shared" si="80"/>
        <v>600177.71356288134</v>
      </c>
      <c r="AL32" s="236">
        <f t="shared" si="80"/>
        <v>0</v>
      </c>
      <c r="AM32" s="236">
        <f t="shared" si="80"/>
        <v>600233.97793852992</v>
      </c>
      <c r="AN32" s="239">
        <f t="shared" si="80"/>
        <v>2277199.4313369957</v>
      </c>
      <c r="AO32" s="238">
        <f t="shared" si="80"/>
        <v>3613084.2613369967</v>
      </c>
      <c r="AP32" s="343">
        <v>12</v>
      </c>
      <c r="AQ32" s="236">
        <f t="shared" ref="AQ32:BI32" si="81">AQ23+AQ30</f>
        <v>2811980.9999999898</v>
      </c>
      <c r="AR32" s="236">
        <f t="shared" si="81"/>
        <v>9013197.8299997803</v>
      </c>
      <c r="AS32" s="236">
        <f t="shared" si="81"/>
        <v>3006867.2899999996</v>
      </c>
      <c r="AT32" s="236">
        <f t="shared" si="81"/>
        <v>9237252.7499997783</v>
      </c>
      <c r="AU32" s="236">
        <f t="shared" si="81"/>
        <v>3128110.87</v>
      </c>
      <c r="AV32" s="236">
        <f t="shared" si="81"/>
        <v>9721650.9999996107</v>
      </c>
      <c r="AW32" s="236">
        <f t="shared" si="81"/>
        <v>3327370.16</v>
      </c>
      <c r="AX32" s="236">
        <f t="shared" si="81"/>
        <v>9980679.3199996017</v>
      </c>
      <c r="AY32" s="241">
        <f t="shared" si="81"/>
        <v>50227110.219998762</v>
      </c>
      <c r="AZ32" s="238">
        <f t="shared" si="81"/>
        <v>0</v>
      </c>
      <c r="BA32" s="236">
        <f t="shared" si="81"/>
        <v>11762007.176030586</v>
      </c>
      <c r="BB32" s="236">
        <f t="shared" si="81"/>
        <v>0</v>
      </c>
      <c r="BC32" s="236">
        <f t="shared" si="81"/>
        <v>9565341.8787084278</v>
      </c>
      <c r="BD32" s="236">
        <f t="shared" si="81"/>
        <v>0</v>
      </c>
      <c r="BE32" s="236">
        <f t="shared" si="81"/>
        <v>10808755.539665459</v>
      </c>
      <c r="BF32" s="236">
        <f t="shared" si="81"/>
        <v>0</v>
      </c>
      <c r="BG32" s="236">
        <f t="shared" si="81"/>
        <v>10750142.384368394</v>
      </c>
      <c r="BH32" s="239">
        <f t="shared" si="81"/>
        <v>42886246.978772864</v>
      </c>
      <c r="BI32" s="238">
        <f t="shared" si="81"/>
        <v>93113357.198771641</v>
      </c>
      <c r="BJ32" s="343">
        <v>12</v>
      </c>
      <c r="BK32" s="236">
        <f t="shared" ref="BK32:CC32" si="82">BK23+BK30</f>
        <v>74587.745047383272</v>
      </c>
      <c r="BL32" s="236">
        <f t="shared" si="82"/>
        <v>1268679.8449424463</v>
      </c>
      <c r="BM32" s="236">
        <f t="shared" si="82"/>
        <v>58536.485034687321</v>
      </c>
      <c r="BN32" s="236">
        <f t="shared" si="82"/>
        <v>1322001.7834277784</v>
      </c>
      <c r="BO32" s="236">
        <f t="shared" si="82"/>
        <v>84147.85512107957</v>
      </c>
      <c r="BP32" s="236">
        <f t="shared" si="82"/>
        <v>1342004.7827151809</v>
      </c>
      <c r="BQ32" s="236">
        <f t="shared" si="82"/>
        <v>115258.92553214851</v>
      </c>
      <c r="BR32" s="236">
        <f t="shared" si="82"/>
        <v>1620898.3559559693</v>
      </c>
      <c r="BS32" s="241">
        <f t="shared" si="82"/>
        <v>5886115.7777766734</v>
      </c>
      <c r="BT32" s="238">
        <f t="shared" si="82"/>
        <v>0</v>
      </c>
      <c r="BU32" s="236">
        <f t="shared" si="82"/>
        <v>525447.25779491907</v>
      </c>
      <c r="BV32" s="236">
        <f t="shared" si="82"/>
        <v>0</v>
      </c>
      <c r="BW32" s="236">
        <f t="shared" si="82"/>
        <v>506020.38649078243</v>
      </c>
      <c r="BX32" s="236">
        <f t="shared" si="82"/>
        <v>0</v>
      </c>
      <c r="BY32" s="236">
        <f t="shared" si="82"/>
        <v>478709.13747282396</v>
      </c>
      <c r="BZ32" s="236">
        <f t="shared" si="82"/>
        <v>0</v>
      </c>
      <c r="CA32" s="236">
        <f t="shared" si="82"/>
        <v>493255.780938446</v>
      </c>
      <c r="CB32" s="239">
        <f t="shared" si="82"/>
        <v>2003432.5626969715</v>
      </c>
      <c r="CC32" s="238">
        <f t="shared" si="82"/>
        <v>7889548.3404736463</v>
      </c>
      <c r="CD32" s="343">
        <v>12</v>
      </c>
      <c r="CE32" s="239">
        <f t="shared" ref="CE32:CH32" si="83">CE23+CE30</f>
        <v>14003941.2799896</v>
      </c>
      <c r="CF32" s="239">
        <f t="shared" si="83"/>
        <v>14460685.998462245</v>
      </c>
      <c r="CG32" s="239">
        <f t="shared" si="83"/>
        <v>15147890.667835873</v>
      </c>
      <c r="CH32" s="239">
        <f t="shared" si="83"/>
        <v>15973863.811487723</v>
      </c>
      <c r="CI32" s="236">
        <f>SUM(BS32,AY32,AE32,K32)</f>
        <v>59586381.757775441</v>
      </c>
      <c r="CJ32" s="239">
        <f t="shared" ref="CJ32:CM32" si="84">CJ23+CJ30</f>
        <v>14137242.848280944</v>
      </c>
      <c r="CK32" s="239">
        <f t="shared" si="84"/>
        <v>11742199.122603383</v>
      </c>
      <c r="CL32" s="239">
        <f t="shared" si="84"/>
        <v>13149476.474248679</v>
      </c>
      <c r="CM32" s="239">
        <f t="shared" si="84"/>
        <v>13107459.606495306</v>
      </c>
      <c r="CN32" s="236">
        <f>SUM(BX32,BD32,AJ32,P32)</f>
        <v>0</v>
      </c>
      <c r="CO32" s="239">
        <f t="shared" ref="CO32:CR32" si="85">CO23+CO30</f>
        <v>28141184.128270548</v>
      </c>
      <c r="CP32" s="239">
        <f t="shared" si="85"/>
        <v>26202885.121065632</v>
      </c>
      <c r="CQ32" s="239">
        <f t="shared" si="85"/>
        <v>28297367.14208455</v>
      </c>
      <c r="CR32" s="239">
        <f t="shared" si="85"/>
        <v>29081323.417983033</v>
      </c>
      <c r="CS32" s="236">
        <f>SUM(CC32,BI32,AO32,U32)</f>
        <v>111722759.80940378</v>
      </c>
      <c r="CT32" s="360"/>
      <c r="CU32" s="360"/>
      <c r="CV32" s="360"/>
      <c r="CW32" s="360"/>
      <c r="CX32" s="360"/>
      <c r="CY32" s="361"/>
      <c r="CZ32" s="361"/>
      <c r="DA32" s="361"/>
      <c r="DB32" s="361"/>
      <c r="DC32" s="361"/>
      <c r="DD32" s="361"/>
      <c r="DE32" s="361"/>
      <c r="DF32" s="361"/>
      <c r="DG32" s="361"/>
      <c r="DH32" s="361"/>
      <c r="DI32" s="361"/>
      <c r="DJ32" s="361"/>
      <c r="DK32" s="361"/>
      <c r="DL32" s="361"/>
      <c r="DM32" s="361"/>
      <c r="DN32" s="361"/>
      <c r="DO32" s="361"/>
      <c r="DP32" s="361"/>
      <c r="DQ32" s="361"/>
      <c r="DR32" s="361"/>
      <c r="DS32" s="361"/>
      <c r="DT32" s="361"/>
      <c r="DU32" s="361"/>
      <c r="DV32" s="361"/>
      <c r="DW32" s="361"/>
      <c r="DX32" s="361"/>
      <c r="DY32" s="361"/>
      <c r="DZ32" s="361"/>
      <c r="EA32" s="361"/>
    </row>
    <row r="33" spans="1:102" ht="15.75" customHeight="1" x14ac:dyDescent="0.25">
      <c r="B33" s="213"/>
      <c r="C33" s="198"/>
      <c r="D33" s="198"/>
      <c r="E33" s="198"/>
      <c r="F33" s="198"/>
      <c r="G33" s="198"/>
      <c r="H33" s="198"/>
      <c r="I33" s="198"/>
      <c r="J33" s="198"/>
      <c r="K33" s="429"/>
      <c r="L33" s="430"/>
      <c r="M33" s="198"/>
      <c r="N33" s="198"/>
      <c r="O33" s="198"/>
      <c r="P33" s="198"/>
      <c r="Q33" s="198"/>
      <c r="R33" s="198"/>
      <c r="S33" s="198"/>
      <c r="T33" s="198"/>
      <c r="U33" s="430"/>
      <c r="V33" s="213"/>
      <c r="W33" s="198"/>
      <c r="X33" s="198"/>
      <c r="Y33" s="198"/>
      <c r="Z33" s="198"/>
      <c r="AA33" s="198"/>
      <c r="AB33" s="198"/>
      <c r="AC33" s="198"/>
      <c r="AD33" s="198"/>
      <c r="AE33" s="429"/>
      <c r="AF33" s="430"/>
      <c r="AG33" s="198"/>
      <c r="AH33" s="198"/>
      <c r="AI33" s="198"/>
      <c r="AJ33" s="198"/>
      <c r="AK33" s="198"/>
      <c r="AL33" s="198"/>
      <c r="AM33" s="198"/>
      <c r="AN33" s="198"/>
      <c r="AO33" s="430"/>
      <c r="AP33" s="213"/>
      <c r="AQ33" s="198"/>
      <c r="AR33" s="198"/>
      <c r="AS33" s="198"/>
      <c r="AT33" s="198"/>
      <c r="AU33" s="198"/>
      <c r="AV33" s="198"/>
      <c r="AW33" s="198"/>
      <c r="AX33" s="198"/>
      <c r="AY33" s="429"/>
      <c r="AZ33" s="430"/>
      <c r="BA33" s="198"/>
      <c r="BB33" s="198"/>
      <c r="BC33" s="198"/>
      <c r="BD33" s="198"/>
      <c r="BE33" s="198"/>
      <c r="BF33" s="198"/>
      <c r="BG33" s="198"/>
      <c r="BH33" s="198"/>
      <c r="BI33" s="430"/>
      <c r="BJ33" s="213"/>
      <c r="BK33" s="198"/>
      <c r="BL33" s="198"/>
      <c r="BM33" s="198"/>
      <c r="BN33" s="198"/>
      <c r="BO33" s="198"/>
      <c r="BP33" s="198"/>
      <c r="BQ33" s="198"/>
      <c r="BR33" s="198"/>
      <c r="BS33" s="429"/>
      <c r="BT33" s="430"/>
      <c r="BU33" s="198"/>
      <c r="BV33" s="198"/>
      <c r="BW33" s="198"/>
      <c r="BX33" s="198"/>
      <c r="BY33" s="198"/>
      <c r="BZ33" s="198"/>
      <c r="CA33" s="198"/>
      <c r="CB33" s="198"/>
      <c r="CC33" s="430"/>
      <c r="CD33" s="213"/>
      <c r="CE33" s="198"/>
      <c r="CF33" s="198"/>
      <c r="CG33" s="198"/>
      <c r="CH33" s="198"/>
      <c r="CI33" s="467"/>
      <c r="CJ33" s="198"/>
      <c r="CK33" s="198"/>
      <c r="CL33" s="198"/>
      <c r="CM33" s="198"/>
      <c r="CN33" s="467"/>
      <c r="CO33" s="198"/>
      <c r="CP33" s="198"/>
      <c r="CQ33" s="198"/>
      <c r="CR33" s="198"/>
      <c r="CS33" s="467"/>
      <c r="CT33" s="362"/>
      <c r="CU33" s="362"/>
      <c r="CV33" s="362"/>
      <c r="CW33" s="362"/>
      <c r="CX33" s="362"/>
    </row>
    <row r="34" spans="1:102" ht="15.75" customHeight="1" x14ac:dyDescent="0.25">
      <c r="A34" s="19" t="s">
        <v>327</v>
      </c>
      <c r="B34" s="213"/>
      <c r="C34" s="198"/>
      <c r="D34" s="198"/>
      <c r="E34" s="198"/>
      <c r="F34" s="198"/>
      <c r="G34" s="198"/>
      <c r="H34" s="198"/>
      <c r="I34" s="198"/>
      <c r="J34" s="198"/>
      <c r="K34" s="429"/>
      <c r="L34" s="430"/>
      <c r="M34" s="198"/>
      <c r="N34" s="198"/>
      <c r="O34" s="198"/>
      <c r="P34" s="198"/>
      <c r="Q34" s="198"/>
      <c r="R34" s="198"/>
      <c r="S34" s="198"/>
      <c r="T34" s="198"/>
      <c r="U34" s="430"/>
      <c r="V34" s="213"/>
      <c r="W34" s="198"/>
      <c r="X34" s="198"/>
      <c r="Y34" s="198"/>
      <c r="Z34" s="198"/>
      <c r="AA34" s="198"/>
      <c r="AB34" s="198"/>
      <c r="AC34" s="198"/>
      <c r="AD34" s="198"/>
      <c r="AE34" s="429"/>
      <c r="AF34" s="430"/>
      <c r="AG34" s="198"/>
      <c r="AH34" s="198"/>
      <c r="AI34" s="198"/>
      <c r="AJ34" s="198"/>
      <c r="AK34" s="198"/>
      <c r="AL34" s="198"/>
      <c r="AM34" s="198"/>
      <c r="AN34" s="198"/>
      <c r="AO34" s="430"/>
      <c r="AP34" s="213"/>
      <c r="AQ34" s="198"/>
      <c r="AR34" s="198"/>
      <c r="AS34" s="198"/>
      <c r="AT34" s="198"/>
      <c r="AU34" s="198"/>
      <c r="AV34" s="198"/>
      <c r="AW34" s="198"/>
      <c r="AX34" s="198"/>
      <c r="AY34" s="429"/>
      <c r="AZ34" s="430"/>
      <c r="BA34" s="198"/>
      <c r="BB34" s="198"/>
      <c r="BC34" s="198"/>
      <c r="BD34" s="198"/>
      <c r="BE34" s="198"/>
      <c r="BF34" s="198"/>
      <c r="BG34" s="198"/>
      <c r="BH34" s="198"/>
      <c r="BI34" s="430"/>
      <c r="BJ34" s="213"/>
      <c r="BK34" s="198"/>
      <c r="BL34" s="198"/>
      <c r="BM34" s="198"/>
      <c r="BN34" s="198"/>
      <c r="BO34" s="198"/>
      <c r="BP34" s="198"/>
      <c r="BQ34" s="198"/>
      <c r="BR34" s="198"/>
      <c r="BS34" s="429"/>
      <c r="BT34" s="430"/>
      <c r="BU34" s="198"/>
      <c r="BV34" s="198"/>
      <c r="BW34" s="198"/>
      <c r="BX34" s="198"/>
      <c r="BY34" s="198"/>
      <c r="BZ34" s="198"/>
      <c r="CA34" s="198"/>
      <c r="CB34" s="198"/>
      <c r="CC34" s="430"/>
      <c r="CD34" s="213"/>
      <c r="CE34" s="198"/>
      <c r="CF34" s="198"/>
      <c r="CG34" s="198"/>
      <c r="CH34" s="198"/>
      <c r="CI34" s="467"/>
      <c r="CJ34" s="198"/>
      <c r="CK34" s="198"/>
      <c r="CL34" s="198"/>
      <c r="CM34" s="198"/>
      <c r="CN34" s="467"/>
      <c r="CO34" s="198"/>
      <c r="CP34" s="198"/>
      <c r="CQ34" s="198"/>
      <c r="CR34" s="198"/>
      <c r="CS34" s="467"/>
      <c r="CT34" s="362"/>
      <c r="CV34" s="362"/>
      <c r="CX34" s="362"/>
    </row>
    <row r="35" spans="1:102" ht="15.75" customHeight="1" x14ac:dyDescent="0.25">
      <c r="A35" s="94" t="s">
        <v>281</v>
      </c>
      <c r="B35" s="343">
        <v>13</v>
      </c>
      <c r="C35" s="257">
        <v>0</v>
      </c>
      <c r="D35" s="257">
        <v>10911.999999999989</v>
      </c>
      <c r="E35" s="257">
        <v>21888.512649384593</v>
      </c>
      <c r="F35" s="257">
        <v>37003.148883258968</v>
      </c>
      <c r="G35" s="257">
        <v>31050.071814668045</v>
      </c>
      <c r="H35" s="257">
        <v>37587.086621408685</v>
      </c>
      <c r="I35" s="257">
        <v>65807.971404803291</v>
      </c>
      <c r="J35" s="257">
        <v>23279.065694586327</v>
      </c>
      <c r="K35" s="460">
        <f t="shared" ref="K35:K64" si="86">SUM(C35:J35)</f>
        <v>227527.85706810985</v>
      </c>
      <c r="L35" s="465">
        <v>0</v>
      </c>
      <c r="M35" s="257">
        <v>128403.12999999996</v>
      </c>
      <c r="N35" s="257">
        <v>0</v>
      </c>
      <c r="O35" s="257">
        <v>547784.34601054701</v>
      </c>
      <c r="P35" s="257">
        <v>0</v>
      </c>
      <c r="Q35" s="257">
        <v>678219.66175344901</v>
      </c>
      <c r="R35" s="257">
        <v>0</v>
      </c>
      <c r="S35" s="257">
        <v>542602.44040616672</v>
      </c>
      <c r="T35" s="462">
        <f t="shared" ref="T35:T64" si="87">SUM(L35:S35)</f>
        <v>1897009.5781701629</v>
      </c>
      <c r="U35" s="463">
        <f t="shared" ref="U35:U64" si="88">SUM(T35,K35)</f>
        <v>2124537.4352382729</v>
      </c>
      <c r="V35" s="343">
        <v>13</v>
      </c>
      <c r="W35" s="257">
        <v>0</v>
      </c>
      <c r="X35" s="257">
        <v>6819.9999999999927</v>
      </c>
      <c r="Y35" s="257">
        <v>0</v>
      </c>
      <c r="Z35" s="257">
        <v>1632.1702113061799</v>
      </c>
      <c r="AA35" s="257">
        <v>0</v>
      </c>
      <c r="AB35" s="257">
        <v>1634.2211574525516</v>
      </c>
      <c r="AC35" s="257">
        <v>0</v>
      </c>
      <c r="AD35" s="257">
        <v>8204.380747830508</v>
      </c>
      <c r="AE35" s="460">
        <f t="shared" ref="AE35:AE64" si="89">SUM(W35:AD35)</f>
        <v>18290.772116589233</v>
      </c>
      <c r="AF35" s="465">
        <v>0</v>
      </c>
      <c r="AG35" s="257">
        <v>59424.979999999989</v>
      </c>
      <c r="AH35" s="257">
        <v>0</v>
      </c>
      <c r="AI35" s="257">
        <v>12542.47453288368</v>
      </c>
      <c r="AJ35" s="257">
        <v>0</v>
      </c>
      <c r="AK35" s="257">
        <v>5666.8348944571289</v>
      </c>
      <c r="AL35" s="257">
        <v>0</v>
      </c>
      <c r="AM35" s="257">
        <v>85486.624328022997</v>
      </c>
      <c r="AN35" s="462">
        <f t="shared" ref="AN35:AN64" si="90">SUM(AF35:AM35)</f>
        <v>163120.91375536378</v>
      </c>
      <c r="AO35" s="463">
        <f t="shared" ref="AO35:AO64" si="91">SUM(AN35,AE35)</f>
        <v>181411.68587195303</v>
      </c>
      <c r="AP35" s="343">
        <v>13</v>
      </c>
      <c r="AQ35" s="257">
        <v>317613.59999999963</v>
      </c>
      <c r="AR35" s="257">
        <v>175170.09999999983</v>
      </c>
      <c r="AS35" s="257">
        <v>166878.6929890452</v>
      </c>
      <c r="AT35" s="257">
        <v>164893.2959413841</v>
      </c>
      <c r="AU35" s="257">
        <v>268370.87722473493</v>
      </c>
      <c r="AV35" s="257">
        <v>125430.62948264719</v>
      </c>
      <c r="AW35" s="257">
        <v>406489.26155547728</v>
      </c>
      <c r="AX35" s="257">
        <v>79081.282003613582</v>
      </c>
      <c r="AY35" s="460">
        <f t="shared" ref="AY35:AY64" si="92">SUM(AQ35:AX35)</f>
        <v>1703927.7391969019</v>
      </c>
      <c r="AZ35" s="465">
        <v>0</v>
      </c>
      <c r="BA35" s="257">
        <v>2022212.0599999994</v>
      </c>
      <c r="BB35" s="257">
        <v>0</v>
      </c>
      <c r="BC35" s="257">
        <v>1978307.3334134782</v>
      </c>
      <c r="BD35" s="257">
        <v>0</v>
      </c>
      <c r="BE35" s="257">
        <v>1947745.7104419677</v>
      </c>
      <c r="BF35" s="257">
        <v>0</v>
      </c>
      <c r="BG35" s="257">
        <v>2005879.3307412446</v>
      </c>
      <c r="BH35" s="462">
        <f t="shared" ref="BH35:BH64" si="93">SUM(AZ35:BG35)</f>
        <v>7954144.4345966894</v>
      </c>
      <c r="BI35" s="463">
        <f t="shared" ref="BI35:BI64" si="94">SUM(BH35,AY35)</f>
        <v>9658072.1737935916</v>
      </c>
      <c r="BJ35" s="343">
        <v>13</v>
      </c>
      <c r="BK35" s="257">
        <v>0</v>
      </c>
      <c r="BL35" s="257">
        <v>11179.999999999989</v>
      </c>
      <c r="BM35" s="257">
        <v>0</v>
      </c>
      <c r="BN35" s="257">
        <v>9793.021267837079</v>
      </c>
      <c r="BO35" s="257">
        <v>0</v>
      </c>
      <c r="BP35" s="257">
        <v>0</v>
      </c>
      <c r="BQ35" s="257">
        <v>1510.3802454900083</v>
      </c>
      <c r="BR35" s="257">
        <v>3281.752299132203</v>
      </c>
      <c r="BS35" s="460">
        <f t="shared" ref="BS35:BS64" si="95">SUM(BK35:BR35)</f>
        <v>25765.153812459277</v>
      </c>
      <c r="BT35" s="465">
        <v>0</v>
      </c>
      <c r="BU35" s="257">
        <v>173980.49</v>
      </c>
      <c r="BV35" s="257">
        <v>0</v>
      </c>
      <c r="BW35" s="257">
        <v>168496.13225403504</v>
      </c>
      <c r="BX35" s="257">
        <v>0</v>
      </c>
      <c r="BY35" s="257">
        <v>78449.618973617034</v>
      </c>
      <c r="BZ35" s="257">
        <v>0</v>
      </c>
      <c r="CA35" s="257">
        <v>202043.86913444413</v>
      </c>
      <c r="CB35" s="462">
        <f t="shared" ref="CB35:CB64" si="96">SUM(BT35:CA35)</f>
        <v>622970.11036209622</v>
      </c>
      <c r="CC35" s="463">
        <f t="shared" ref="CC35:CC64" si="97">SUM(CB35,BS35)</f>
        <v>648735.26417455554</v>
      </c>
      <c r="CD35" s="343">
        <v>13</v>
      </c>
      <c r="CE35" s="462">
        <f t="shared" ref="CE35:CE64" si="98">+C35+D35+W35+X35+AQ35+AR35+BK35+BL35</f>
        <v>521695.69999999949</v>
      </c>
      <c r="CF35" s="462">
        <f t="shared" ref="CF35:CF64" si="99">+E35+F35+Y35+Z35+AS35+AT35+BM35+BN35</f>
        <v>402088.8419422161</v>
      </c>
      <c r="CG35" s="462">
        <f t="shared" ref="CG35:CG64" si="100">+G35+H35+AA35+AB35+AU35+AV35+BO35+BP35</f>
        <v>464072.88630091137</v>
      </c>
      <c r="CH35" s="462">
        <f t="shared" ref="CH35:CH64" si="101">+I35+J35+AC35+AD35+AW35+AX35+BQ35+BR35</f>
        <v>587654.09395093319</v>
      </c>
      <c r="CI35" s="464">
        <f t="shared" ref="CI35:CI64" si="102">SUM(K35,AE35,AY35,BS35)</f>
        <v>1975511.5221940603</v>
      </c>
      <c r="CJ35" s="462">
        <f t="shared" ref="CJ35:CJ64" si="103">L35+M35+AF35+AG35+AZ35+BA35+BT35+BU35</f>
        <v>2384020.6599999992</v>
      </c>
      <c r="CK35" s="462">
        <f t="shared" ref="CK35:CK64" si="104">N35+O35+AH35+AI35+BB35+BC35+BV35+BW35</f>
        <v>2707130.2862109439</v>
      </c>
      <c r="CL35" s="462">
        <f t="shared" ref="CL35:CL64" si="105">P35+Q35+AJ35+AK35+BD35+BE35+BX35+BY35</f>
        <v>2710081.8260634909</v>
      </c>
      <c r="CM35" s="462">
        <f t="shared" ref="CM35:CM64" si="106">+R35+S35+AL35+AM35+BF35+BG35+BZ35+CA35</f>
        <v>2836012.2646098784</v>
      </c>
      <c r="CN35" s="464">
        <f t="shared" ref="CN35:CN64" si="107">SUM(T35,AN35,BH35,CB35)</f>
        <v>10637245.036884312</v>
      </c>
      <c r="CO35" s="462">
        <f t="shared" ref="CO35:CO64" si="108">+C35+D35+L35+M35+W35+X35+AF35+AG35+AQ35+AR35+AZ35+BA35+BK35+BL35+BT35+BU35</f>
        <v>2905716.3599999985</v>
      </c>
      <c r="CP35" s="462">
        <f t="shared" ref="CP35:CP64" si="109">+E35+F35+N35+O35+Y35+Z35+AH35+AI35+AS35+AT35+BB35+BC35+BM35+BN35+BV35+BW35</f>
        <v>3109219.1281531602</v>
      </c>
      <c r="CQ35" s="462">
        <f t="shared" ref="CQ35:CQ64" si="110">+G35+H35+P35+Q35+AA35+AB35+AJ35+AK35+AU35+AV35+BD35+BE35+BO35+BP35+BX35+BY35</f>
        <v>3174154.7123644021</v>
      </c>
      <c r="CR35" s="462">
        <f t="shared" ref="CR35:CR64" si="111">+I35+J35+R35+S35+AC35+AD35+AL35+AM35+AW35+AX35+BF35+BG35+BQ35+BR35+BZ35+CA35</f>
        <v>3423666.3585608117</v>
      </c>
      <c r="CS35" s="464">
        <f t="shared" ref="CS35:CS64" si="112">SUM(CC35,BI35,AO35,U35)</f>
        <v>12612756.559078373</v>
      </c>
      <c r="CT35" s="362"/>
      <c r="CV35" s="362"/>
      <c r="CX35" s="362"/>
    </row>
    <row r="36" spans="1:102" ht="15.75" customHeight="1" x14ac:dyDescent="0.25">
      <c r="A36" s="94" t="s">
        <v>282</v>
      </c>
      <c r="B36" s="343">
        <v>14</v>
      </c>
      <c r="C36" s="257">
        <v>0</v>
      </c>
      <c r="D36" s="257">
        <v>2995.9999999999968</v>
      </c>
      <c r="E36" s="257">
        <v>0</v>
      </c>
      <c r="F36" s="257">
        <v>6528.6808452247196</v>
      </c>
      <c r="G36" s="257">
        <v>0</v>
      </c>
      <c r="H36" s="257">
        <v>3268.4423149051031</v>
      </c>
      <c r="I36" s="257">
        <v>0</v>
      </c>
      <c r="J36" s="257">
        <v>0</v>
      </c>
      <c r="K36" s="460">
        <f t="shared" si="86"/>
        <v>12793.12316012982</v>
      </c>
      <c r="L36" s="465">
        <v>0</v>
      </c>
      <c r="M36" s="257">
        <v>60482.93</v>
      </c>
      <c r="N36" s="257">
        <v>0</v>
      </c>
      <c r="O36" s="257">
        <v>74429.179225988395</v>
      </c>
      <c r="P36" s="257">
        <v>0</v>
      </c>
      <c r="Q36" s="257">
        <v>43392.411735679569</v>
      </c>
      <c r="R36" s="257">
        <v>0</v>
      </c>
      <c r="S36" s="257">
        <v>13678.66553971254</v>
      </c>
      <c r="T36" s="462">
        <f t="shared" si="87"/>
        <v>191983.18650138049</v>
      </c>
      <c r="U36" s="463">
        <f t="shared" si="88"/>
        <v>204776.30966151031</v>
      </c>
      <c r="V36" s="343">
        <v>14</v>
      </c>
      <c r="W36" s="257">
        <v>0</v>
      </c>
      <c r="X36" s="257">
        <v>1363.9999999999986</v>
      </c>
      <c r="Y36" s="257">
        <v>0</v>
      </c>
      <c r="Z36" s="257">
        <v>4896.5106339185404</v>
      </c>
      <c r="AA36" s="257">
        <v>0</v>
      </c>
      <c r="AB36" s="257">
        <v>1634.2211574525516</v>
      </c>
      <c r="AC36" s="257">
        <v>0</v>
      </c>
      <c r="AD36" s="257">
        <v>0</v>
      </c>
      <c r="AE36" s="460">
        <f t="shared" si="89"/>
        <v>7894.7317913710904</v>
      </c>
      <c r="AF36" s="465">
        <v>0</v>
      </c>
      <c r="AG36" s="257">
        <v>41216.630000000005</v>
      </c>
      <c r="AH36" s="257">
        <v>0</v>
      </c>
      <c r="AI36" s="257">
        <v>36811.681613831563</v>
      </c>
      <c r="AJ36" s="257">
        <v>0</v>
      </c>
      <c r="AK36" s="257">
        <v>8040.4966243392591</v>
      </c>
      <c r="AL36" s="257">
        <v>0</v>
      </c>
      <c r="AM36" s="257">
        <v>0</v>
      </c>
      <c r="AN36" s="462">
        <f t="shared" si="90"/>
        <v>86068.808238170823</v>
      </c>
      <c r="AO36" s="463">
        <f t="shared" si="91"/>
        <v>93963.540029541909</v>
      </c>
      <c r="AP36" s="343">
        <v>14</v>
      </c>
      <c r="AQ36" s="257">
        <v>0</v>
      </c>
      <c r="AR36" s="257">
        <v>5723.9999999999945</v>
      </c>
      <c r="AS36" s="257">
        <v>0</v>
      </c>
      <c r="AT36" s="257">
        <v>9665.0079179307122</v>
      </c>
      <c r="AU36" s="257">
        <v>0</v>
      </c>
      <c r="AV36" s="257">
        <v>1634.2211574525516</v>
      </c>
      <c r="AW36" s="257">
        <v>14104.295726785094</v>
      </c>
      <c r="AX36" s="257">
        <v>865.68282155417489</v>
      </c>
      <c r="AY36" s="460">
        <f t="shared" si="92"/>
        <v>31993.207623722526</v>
      </c>
      <c r="AZ36" s="465">
        <v>0</v>
      </c>
      <c r="BA36" s="257">
        <v>96508.349999999991</v>
      </c>
      <c r="BB36" s="257">
        <v>0</v>
      </c>
      <c r="BC36" s="257">
        <v>33755.418340881813</v>
      </c>
      <c r="BD36" s="257">
        <v>0</v>
      </c>
      <c r="BE36" s="257">
        <v>25700.901797254875</v>
      </c>
      <c r="BF36" s="257">
        <v>0</v>
      </c>
      <c r="BG36" s="257">
        <v>40042.795360888726</v>
      </c>
      <c r="BH36" s="462">
        <f t="shared" si="93"/>
        <v>196007.46549902539</v>
      </c>
      <c r="BI36" s="463">
        <f t="shared" si="94"/>
        <v>228000.67312274792</v>
      </c>
      <c r="BJ36" s="343">
        <v>14</v>
      </c>
      <c r="BK36" s="257">
        <v>0</v>
      </c>
      <c r="BL36" s="257">
        <v>0</v>
      </c>
      <c r="BM36" s="257">
        <v>0</v>
      </c>
      <c r="BN36" s="257">
        <v>1632.1702113061799</v>
      </c>
      <c r="BO36" s="257">
        <v>0</v>
      </c>
      <c r="BP36" s="257">
        <v>0</v>
      </c>
      <c r="BQ36" s="257">
        <v>0</v>
      </c>
      <c r="BR36" s="257">
        <v>0</v>
      </c>
      <c r="BS36" s="460">
        <f t="shared" si="95"/>
        <v>1632.1702113061799</v>
      </c>
      <c r="BT36" s="465">
        <v>0</v>
      </c>
      <c r="BU36" s="257">
        <v>0</v>
      </c>
      <c r="BV36" s="257">
        <v>0</v>
      </c>
      <c r="BW36" s="257">
        <v>5875.5436183501088</v>
      </c>
      <c r="BX36" s="257">
        <v>0</v>
      </c>
      <c r="BY36" s="257">
        <v>16621.439803218687</v>
      </c>
      <c r="BZ36" s="257">
        <v>0</v>
      </c>
      <c r="CA36" s="257">
        <v>12204.667973916808</v>
      </c>
      <c r="CB36" s="462">
        <f t="shared" si="96"/>
        <v>34701.651395485605</v>
      </c>
      <c r="CC36" s="463">
        <f t="shared" si="97"/>
        <v>36333.821606791782</v>
      </c>
      <c r="CD36" s="343">
        <v>14</v>
      </c>
      <c r="CE36" s="462">
        <f t="shared" si="98"/>
        <v>10083.999999999989</v>
      </c>
      <c r="CF36" s="462">
        <f t="shared" si="99"/>
        <v>22722.369608380151</v>
      </c>
      <c r="CG36" s="462">
        <f t="shared" si="100"/>
        <v>6536.8846298102062</v>
      </c>
      <c r="CH36" s="462">
        <f t="shared" si="101"/>
        <v>14969.97854833927</v>
      </c>
      <c r="CI36" s="464">
        <f t="shared" si="102"/>
        <v>54313.23278652961</v>
      </c>
      <c r="CJ36" s="462">
        <f t="shared" si="103"/>
        <v>198207.90999999997</v>
      </c>
      <c r="CK36" s="462">
        <f t="shared" si="104"/>
        <v>150871.82279905188</v>
      </c>
      <c r="CL36" s="462">
        <f t="shared" si="105"/>
        <v>93755.249960492394</v>
      </c>
      <c r="CM36" s="462">
        <f t="shared" si="106"/>
        <v>65926.128874518065</v>
      </c>
      <c r="CN36" s="464">
        <f t="shared" si="107"/>
        <v>508761.11163406237</v>
      </c>
      <c r="CO36" s="462">
        <f t="shared" si="108"/>
        <v>208291.90999999997</v>
      </c>
      <c r="CP36" s="462">
        <f t="shared" si="109"/>
        <v>173594.19240743207</v>
      </c>
      <c r="CQ36" s="462">
        <f t="shared" si="110"/>
        <v>100292.13459030258</v>
      </c>
      <c r="CR36" s="462">
        <f t="shared" si="111"/>
        <v>80896.107422857342</v>
      </c>
      <c r="CS36" s="464">
        <f t="shared" si="112"/>
        <v>563074.34442059195</v>
      </c>
      <c r="CT36" s="362"/>
      <c r="CV36" s="362"/>
      <c r="CX36" s="362"/>
    </row>
    <row r="37" spans="1:102" ht="15.75" customHeight="1" x14ac:dyDescent="0.25">
      <c r="A37" s="94" t="s">
        <v>283</v>
      </c>
      <c r="B37" s="343">
        <v>15</v>
      </c>
      <c r="C37" s="257">
        <v>17987.899999999983</v>
      </c>
      <c r="D37" s="257">
        <v>53199.929999999978</v>
      </c>
      <c r="E37" s="257">
        <v>35171.097827325553</v>
      </c>
      <c r="F37" s="257">
        <v>88443.843389817237</v>
      </c>
      <c r="G37" s="257">
        <v>51943.969829880167</v>
      </c>
      <c r="H37" s="257">
        <v>77059.105154676421</v>
      </c>
      <c r="I37" s="257">
        <v>61340.052661154747</v>
      </c>
      <c r="J37" s="257">
        <v>68982.413218982561</v>
      </c>
      <c r="K37" s="460">
        <f t="shared" si="86"/>
        <v>454128.31208183669</v>
      </c>
      <c r="L37" s="465">
        <v>0</v>
      </c>
      <c r="M37" s="257">
        <v>192681.78000000026</v>
      </c>
      <c r="N37" s="257">
        <v>0</v>
      </c>
      <c r="O37" s="257">
        <v>441098.22219308658</v>
      </c>
      <c r="P37" s="257">
        <v>0</v>
      </c>
      <c r="Q37" s="257">
        <v>383085.37922886229</v>
      </c>
      <c r="R37" s="257">
        <v>0</v>
      </c>
      <c r="S37" s="257">
        <v>331826.54744289175</v>
      </c>
      <c r="T37" s="462">
        <f t="shared" si="87"/>
        <v>1348691.9288648409</v>
      </c>
      <c r="U37" s="463">
        <f t="shared" si="88"/>
        <v>1802820.2409466775</v>
      </c>
      <c r="V37" s="343">
        <v>15</v>
      </c>
      <c r="W37" s="257">
        <v>2172.9499999999975</v>
      </c>
      <c r="X37" s="257">
        <v>23585.319999999996</v>
      </c>
      <c r="Y37" s="257">
        <v>0</v>
      </c>
      <c r="Z37" s="257">
        <v>7955.2096111578721</v>
      </c>
      <c r="AA37" s="257">
        <v>206.74099274978784</v>
      </c>
      <c r="AB37" s="257">
        <v>9412.3428189541264</v>
      </c>
      <c r="AC37" s="257">
        <v>4767.8210340238602</v>
      </c>
      <c r="AD37" s="257">
        <v>11379.22473753663</v>
      </c>
      <c r="AE37" s="460">
        <f t="shared" si="89"/>
        <v>59479.609194422257</v>
      </c>
      <c r="AF37" s="465">
        <v>0</v>
      </c>
      <c r="AG37" s="257">
        <v>91074.360000000059</v>
      </c>
      <c r="AH37" s="257">
        <v>0</v>
      </c>
      <c r="AI37" s="257">
        <v>30133.644000700649</v>
      </c>
      <c r="AJ37" s="257">
        <v>0</v>
      </c>
      <c r="AK37" s="257">
        <v>41902.683045372374</v>
      </c>
      <c r="AL37" s="257">
        <v>0</v>
      </c>
      <c r="AM37" s="257">
        <v>46686.298768963527</v>
      </c>
      <c r="AN37" s="462">
        <f t="shared" si="90"/>
        <v>209796.98581503661</v>
      </c>
      <c r="AO37" s="463">
        <f t="shared" si="91"/>
        <v>269276.59500945883</v>
      </c>
      <c r="AP37" s="343">
        <v>15</v>
      </c>
      <c r="AQ37" s="257">
        <v>157800.94999999972</v>
      </c>
      <c r="AR37" s="257">
        <v>295908.52999999915</v>
      </c>
      <c r="AS37" s="257">
        <v>160856.33494582909</v>
      </c>
      <c r="AT37" s="257">
        <v>247697.85123653684</v>
      </c>
      <c r="AU37" s="257">
        <v>254970.84452300594</v>
      </c>
      <c r="AV37" s="257">
        <v>220456.79463031029</v>
      </c>
      <c r="AW37" s="257">
        <v>304486.5987164735</v>
      </c>
      <c r="AX37" s="257">
        <v>181029.32940607029</v>
      </c>
      <c r="AY37" s="460">
        <f t="shared" si="92"/>
        <v>1823207.2334582247</v>
      </c>
      <c r="AZ37" s="465">
        <v>0</v>
      </c>
      <c r="BA37" s="257">
        <v>1345991.6499999976</v>
      </c>
      <c r="BB37" s="257">
        <v>0</v>
      </c>
      <c r="BC37" s="257">
        <v>1208339.6656922747</v>
      </c>
      <c r="BD37" s="257">
        <v>0</v>
      </c>
      <c r="BE37" s="257">
        <v>1438077.3665105477</v>
      </c>
      <c r="BF37" s="257">
        <v>0</v>
      </c>
      <c r="BG37" s="257">
        <v>1414777.663415371</v>
      </c>
      <c r="BH37" s="462">
        <f t="shared" si="93"/>
        <v>5407186.3456181902</v>
      </c>
      <c r="BI37" s="463">
        <f t="shared" si="94"/>
        <v>7230393.5790764149</v>
      </c>
      <c r="BJ37" s="343">
        <v>15</v>
      </c>
      <c r="BK37" s="257">
        <v>0</v>
      </c>
      <c r="BL37" s="257">
        <v>3963.6899999999964</v>
      </c>
      <c r="BM37" s="257">
        <v>0</v>
      </c>
      <c r="BN37" s="257">
        <v>5717.6462662671538</v>
      </c>
      <c r="BO37" s="257">
        <v>0</v>
      </c>
      <c r="BP37" s="257">
        <v>3167.7855068492636</v>
      </c>
      <c r="BQ37" s="257">
        <v>0</v>
      </c>
      <c r="BR37" s="257">
        <v>2199.2465966626305</v>
      </c>
      <c r="BS37" s="460">
        <f t="shared" si="95"/>
        <v>15048.368369779044</v>
      </c>
      <c r="BT37" s="465">
        <v>0</v>
      </c>
      <c r="BU37" s="257">
        <v>15232.5</v>
      </c>
      <c r="BV37" s="257">
        <v>0</v>
      </c>
      <c r="BW37" s="257">
        <v>22761.067501948255</v>
      </c>
      <c r="BX37" s="257">
        <v>0</v>
      </c>
      <c r="BY37" s="257">
        <v>13784.566828186867</v>
      </c>
      <c r="BZ37" s="257">
        <v>0</v>
      </c>
      <c r="CA37" s="257">
        <v>19745.538138880995</v>
      </c>
      <c r="CB37" s="462">
        <f t="shared" si="96"/>
        <v>71523.672469016121</v>
      </c>
      <c r="CC37" s="463">
        <f t="shared" si="97"/>
        <v>86572.040838795161</v>
      </c>
      <c r="CD37" s="343">
        <v>15</v>
      </c>
      <c r="CE37" s="462">
        <f t="shared" si="98"/>
        <v>554619.26999999874</v>
      </c>
      <c r="CF37" s="462">
        <f t="shared" si="99"/>
        <v>545841.98327693378</v>
      </c>
      <c r="CG37" s="462">
        <f t="shared" si="100"/>
        <v>617217.58345642604</v>
      </c>
      <c r="CH37" s="462">
        <f t="shared" si="101"/>
        <v>634184.68637090421</v>
      </c>
      <c r="CI37" s="464">
        <f t="shared" si="102"/>
        <v>2351863.5231042625</v>
      </c>
      <c r="CJ37" s="462">
        <f t="shared" si="103"/>
        <v>1644980.2899999979</v>
      </c>
      <c r="CK37" s="462">
        <f t="shared" si="104"/>
        <v>1702332.5993880101</v>
      </c>
      <c r="CL37" s="462">
        <f t="shared" si="105"/>
        <v>1876849.9956129692</v>
      </c>
      <c r="CM37" s="462">
        <f t="shared" si="106"/>
        <v>1813036.0477661074</v>
      </c>
      <c r="CN37" s="464">
        <f t="shared" si="107"/>
        <v>7037198.9327670839</v>
      </c>
      <c r="CO37" s="462">
        <f t="shared" si="108"/>
        <v>2199599.5599999963</v>
      </c>
      <c r="CP37" s="462">
        <f t="shared" si="109"/>
        <v>2248174.5826649438</v>
      </c>
      <c r="CQ37" s="462">
        <f t="shared" si="110"/>
        <v>2494067.5790693951</v>
      </c>
      <c r="CR37" s="462">
        <f t="shared" si="111"/>
        <v>2447220.7341370117</v>
      </c>
      <c r="CS37" s="464">
        <f t="shared" si="112"/>
        <v>9389062.4558713473</v>
      </c>
    </row>
    <row r="38" spans="1:102" ht="15.75" customHeight="1" x14ac:dyDescent="0.25">
      <c r="A38" s="94" t="s">
        <v>284</v>
      </c>
      <c r="B38" s="343">
        <v>16</v>
      </c>
      <c r="C38" s="257">
        <v>2418.9199999999978</v>
      </c>
      <c r="D38" s="257">
        <v>5722.9999999999964</v>
      </c>
      <c r="E38" s="257">
        <v>4971.9885051484898</v>
      </c>
      <c r="F38" s="257">
        <v>12762.930985664789</v>
      </c>
      <c r="G38" s="257">
        <v>4631.4748854328382</v>
      </c>
      <c r="H38" s="257">
        <v>13425.877829225214</v>
      </c>
      <c r="I38" s="257">
        <v>2510.1684964737951</v>
      </c>
      <c r="J38" s="257">
        <v>8940.2212005397287</v>
      </c>
      <c r="K38" s="460">
        <f t="shared" si="86"/>
        <v>55384.581902484846</v>
      </c>
      <c r="L38" s="465">
        <v>0</v>
      </c>
      <c r="M38" s="257">
        <v>17382.299999999996</v>
      </c>
      <c r="N38" s="257">
        <v>0</v>
      </c>
      <c r="O38" s="257">
        <v>39234.4828374106</v>
      </c>
      <c r="P38" s="257">
        <v>0</v>
      </c>
      <c r="Q38" s="257">
        <v>72413.378627960847</v>
      </c>
      <c r="R38" s="257">
        <v>0</v>
      </c>
      <c r="S38" s="257">
        <v>26083.918291890597</v>
      </c>
      <c r="T38" s="462">
        <f t="shared" si="87"/>
        <v>155114.07975726202</v>
      </c>
      <c r="U38" s="463">
        <f t="shared" si="88"/>
        <v>210498.66165974687</v>
      </c>
      <c r="V38" s="343">
        <v>16</v>
      </c>
      <c r="W38" s="257">
        <v>0</v>
      </c>
      <c r="X38" s="257">
        <v>5153.9899999999943</v>
      </c>
      <c r="Y38" s="257">
        <v>0</v>
      </c>
      <c r="Z38" s="257">
        <v>6734.6323229295504</v>
      </c>
      <c r="AA38" s="257">
        <v>0</v>
      </c>
      <c r="AB38" s="257">
        <v>3841.7114757078061</v>
      </c>
      <c r="AC38" s="257">
        <v>0</v>
      </c>
      <c r="AD38" s="257">
        <v>5348.14021049847</v>
      </c>
      <c r="AE38" s="460">
        <f t="shared" si="89"/>
        <v>21078.474009135822</v>
      </c>
      <c r="AF38" s="465">
        <v>0</v>
      </c>
      <c r="AG38" s="257">
        <v>12529.329999999996</v>
      </c>
      <c r="AH38" s="257">
        <v>0</v>
      </c>
      <c r="AI38" s="257">
        <v>16580.960197196004</v>
      </c>
      <c r="AJ38" s="257">
        <v>0</v>
      </c>
      <c r="AK38" s="257">
        <v>13844.810369511453</v>
      </c>
      <c r="AL38" s="257">
        <v>0</v>
      </c>
      <c r="AM38" s="257">
        <v>17724.299549167488</v>
      </c>
      <c r="AN38" s="462">
        <f t="shared" si="90"/>
        <v>60679.400115874945</v>
      </c>
      <c r="AO38" s="463">
        <f t="shared" si="91"/>
        <v>81757.874125010771</v>
      </c>
      <c r="AP38" s="343">
        <v>16</v>
      </c>
      <c r="AQ38" s="257">
        <v>10499.539999999992</v>
      </c>
      <c r="AR38" s="257">
        <v>48271.209999999941</v>
      </c>
      <c r="AS38" s="257">
        <v>8531.9197535290205</v>
      </c>
      <c r="AT38" s="257">
        <v>34979.567853571105</v>
      </c>
      <c r="AU38" s="257">
        <v>8400.9281511395566</v>
      </c>
      <c r="AV38" s="257">
        <v>40749.264506639214</v>
      </c>
      <c r="AW38" s="257">
        <v>7924.2654933763934</v>
      </c>
      <c r="AX38" s="257">
        <v>35837.730490952628</v>
      </c>
      <c r="AY38" s="460">
        <f t="shared" si="92"/>
        <v>195194.42624920787</v>
      </c>
      <c r="AZ38" s="465">
        <v>0</v>
      </c>
      <c r="BA38" s="257">
        <v>165942.14000000004</v>
      </c>
      <c r="BB38" s="257">
        <v>0</v>
      </c>
      <c r="BC38" s="257">
        <v>121046.4647296887</v>
      </c>
      <c r="BD38" s="257">
        <v>0</v>
      </c>
      <c r="BE38" s="257">
        <v>128568.31337627867</v>
      </c>
      <c r="BF38" s="257">
        <v>0</v>
      </c>
      <c r="BG38" s="257">
        <v>137981.2382054317</v>
      </c>
      <c r="BH38" s="462">
        <f t="shared" si="93"/>
        <v>553538.15631139907</v>
      </c>
      <c r="BI38" s="463">
        <f t="shared" si="94"/>
        <v>748732.582560607</v>
      </c>
      <c r="BJ38" s="343">
        <v>16</v>
      </c>
      <c r="BK38" s="257">
        <v>322.88999999999965</v>
      </c>
      <c r="BL38" s="257">
        <v>4275.8599999999969</v>
      </c>
      <c r="BM38" s="257">
        <v>0</v>
      </c>
      <c r="BN38" s="257">
        <v>3077.9709870260199</v>
      </c>
      <c r="BO38" s="257">
        <v>116.84881547986411</v>
      </c>
      <c r="BP38" s="257">
        <v>2500.9692011144421</v>
      </c>
      <c r="BQ38" s="257">
        <v>435.02321301027274</v>
      </c>
      <c r="BR38" s="257">
        <v>2030.2222771138818</v>
      </c>
      <c r="BS38" s="460">
        <f t="shared" si="95"/>
        <v>12759.784493744477</v>
      </c>
      <c r="BT38" s="465">
        <v>0</v>
      </c>
      <c r="BU38" s="257">
        <v>8468.0900000000038</v>
      </c>
      <c r="BV38" s="257">
        <v>0</v>
      </c>
      <c r="BW38" s="257">
        <v>10238.49497222687</v>
      </c>
      <c r="BX38" s="257">
        <v>0</v>
      </c>
      <c r="BY38" s="257">
        <v>10405.913234179961</v>
      </c>
      <c r="BZ38" s="257">
        <v>0</v>
      </c>
      <c r="CA38" s="257">
        <v>10344.952173013327</v>
      </c>
      <c r="CB38" s="462">
        <f t="shared" si="96"/>
        <v>39457.450379420166</v>
      </c>
      <c r="CC38" s="463">
        <f t="shared" si="97"/>
        <v>52217.234873164642</v>
      </c>
      <c r="CD38" s="343">
        <v>16</v>
      </c>
      <c r="CE38" s="462">
        <f t="shared" si="98"/>
        <v>76665.409999999916</v>
      </c>
      <c r="CF38" s="462">
        <f t="shared" si="99"/>
        <v>71059.010407868976</v>
      </c>
      <c r="CG38" s="462">
        <f t="shared" si="100"/>
        <v>73667.074864738941</v>
      </c>
      <c r="CH38" s="462">
        <f t="shared" si="101"/>
        <v>63025.771381965176</v>
      </c>
      <c r="CI38" s="464">
        <f t="shared" si="102"/>
        <v>284417.26665457303</v>
      </c>
      <c r="CJ38" s="462">
        <f t="shared" si="103"/>
        <v>204321.86000000002</v>
      </c>
      <c r="CK38" s="462">
        <f t="shared" si="104"/>
        <v>187100.40273652217</v>
      </c>
      <c r="CL38" s="462">
        <f t="shared" si="105"/>
        <v>225232.41560793092</v>
      </c>
      <c r="CM38" s="462">
        <f t="shared" si="106"/>
        <v>192134.40821950309</v>
      </c>
      <c r="CN38" s="464">
        <f t="shared" si="107"/>
        <v>808789.08656395623</v>
      </c>
      <c r="CO38" s="462">
        <f t="shared" si="108"/>
        <v>280987.26999999996</v>
      </c>
      <c r="CP38" s="462">
        <f t="shared" si="109"/>
        <v>258159.41314439115</v>
      </c>
      <c r="CQ38" s="462">
        <f t="shared" si="110"/>
        <v>298899.49047266983</v>
      </c>
      <c r="CR38" s="462">
        <f t="shared" si="111"/>
        <v>255160.17960146829</v>
      </c>
      <c r="CS38" s="464">
        <f t="shared" si="112"/>
        <v>1093206.3532185294</v>
      </c>
    </row>
    <row r="39" spans="1:102" ht="15.75" customHeight="1" x14ac:dyDescent="0.25">
      <c r="A39" s="94" t="s">
        <v>234</v>
      </c>
      <c r="B39" s="343">
        <v>17</v>
      </c>
      <c r="C39" s="257">
        <v>14399.599999999989</v>
      </c>
      <c r="D39" s="257">
        <v>65278.910000000025</v>
      </c>
      <c r="E39" s="257">
        <v>58786.260540873016</v>
      </c>
      <c r="F39" s="257">
        <v>91280.319192453462</v>
      </c>
      <c r="G39" s="257">
        <v>41887.371368596541</v>
      </c>
      <c r="H39" s="257">
        <v>73872.6142242848</v>
      </c>
      <c r="I39" s="257">
        <v>39564.952512405143</v>
      </c>
      <c r="J39" s="257">
        <v>67071.486257521843</v>
      </c>
      <c r="K39" s="460">
        <f t="shared" si="86"/>
        <v>452141.51409613475</v>
      </c>
      <c r="L39" s="465">
        <v>0</v>
      </c>
      <c r="M39" s="257">
        <v>170453.6</v>
      </c>
      <c r="N39" s="257">
        <v>0</v>
      </c>
      <c r="O39" s="257">
        <v>300637.63855057186</v>
      </c>
      <c r="P39" s="257">
        <v>0</v>
      </c>
      <c r="Q39" s="257">
        <v>273348.88993552077</v>
      </c>
      <c r="R39" s="257">
        <v>0</v>
      </c>
      <c r="S39" s="257">
        <v>251836.19616505629</v>
      </c>
      <c r="T39" s="462">
        <f t="shared" si="87"/>
        <v>996276.32465114899</v>
      </c>
      <c r="U39" s="463">
        <f t="shared" si="88"/>
        <v>1448417.8387472837</v>
      </c>
      <c r="V39" s="343">
        <v>17</v>
      </c>
      <c r="W39" s="257">
        <v>1793.4299999999978</v>
      </c>
      <c r="X39" s="257">
        <v>18611.619999999995</v>
      </c>
      <c r="Y39" s="257">
        <v>462.65824843894109</v>
      </c>
      <c r="Z39" s="257">
        <v>13322.799371688894</v>
      </c>
      <c r="AA39" s="257">
        <v>707.90214770190357</v>
      </c>
      <c r="AB39" s="257">
        <v>11153.108787162157</v>
      </c>
      <c r="AC39" s="257">
        <v>3207.1185757361909</v>
      </c>
      <c r="AD39" s="257">
        <v>11700.180916742813</v>
      </c>
      <c r="AE39" s="460">
        <f t="shared" si="89"/>
        <v>60958.818047470893</v>
      </c>
      <c r="AF39" s="465">
        <v>0</v>
      </c>
      <c r="AG39" s="257">
        <v>50115.560000000012</v>
      </c>
      <c r="AH39" s="257">
        <v>0</v>
      </c>
      <c r="AI39" s="257">
        <v>41553.901709721154</v>
      </c>
      <c r="AJ39" s="257">
        <v>0</v>
      </c>
      <c r="AK39" s="257">
        <v>42387.750880023603</v>
      </c>
      <c r="AL39" s="257">
        <v>0</v>
      </c>
      <c r="AM39" s="257">
        <v>42843.246510119789</v>
      </c>
      <c r="AN39" s="462">
        <f t="shared" si="90"/>
        <v>176900.45909986456</v>
      </c>
      <c r="AO39" s="463">
        <f t="shared" si="91"/>
        <v>237859.27714733547</v>
      </c>
      <c r="AP39" s="343">
        <v>17</v>
      </c>
      <c r="AQ39" s="257">
        <v>172412.25999999983</v>
      </c>
      <c r="AR39" s="257">
        <v>305863.609999999</v>
      </c>
      <c r="AS39" s="257">
        <v>117111.44299809495</v>
      </c>
      <c r="AT39" s="257">
        <v>219835.56561064339</v>
      </c>
      <c r="AU39" s="257">
        <v>130075.63275523514</v>
      </c>
      <c r="AV39" s="257">
        <v>197284.26961116595</v>
      </c>
      <c r="AW39" s="257">
        <v>155935.25561317825</v>
      </c>
      <c r="AX39" s="257">
        <v>178225.28119773598</v>
      </c>
      <c r="AY39" s="460">
        <f t="shared" si="92"/>
        <v>1476743.3177860526</v>
      </c>
      <c r="AZ39" s="465">
        <v>0</v>
      </c>
      <c r="BA39" s="257">
        <v>887566.23000000149</v>
      </c>
      <c r="BB39" s="257">
        <v>0</v>
      </c>
      <c r="BC39" s="257">
        <v>864318.36187729123</v>
      </c>
      <c r="BD39" s="257">
        <v>0</v>
      </c>
      <c r="BE39" s="257">
        <v>910008.57274497696</v>
      </c>
      <c r="BF39" s="257">
        <v>0</v>
      </c>
      <c r="BG39" s="257">
        <v>920564.41473528685</v>
      </c>
      <c r="BH39" s="462">
        <f t="shared" si="93"/>
        <v>3582457.5793575565</v>
      </c>
      <c r="BI39" s="463">
        <f t="shared" si="94"/>
        <v>5059200.8971436089</v>
      </c>
      <c r="BJ39" s="343">
        <v>17</v>
      </c>
      <c r="BK39" s="257">
        <v>301.0799999999997</v>
      </c>
      <c r="BL39" s="257">
        <v>18365.959999999966</v>
      </c>
      <c r="BM39" s="257">
        <v>0</v>
      </c>
      <c r="BN39" s="257">
        <v>12149.056967648956</v>
      </c>
      <c r="BO39" s="257">
        <v>0</v>
      </c>
      <c r="BP39" s="257">
        <v>8729.9553496173558</v>
      </c>
      <c r="BQ39" s="257">
        <v>1302.5660963761495</v>
      </c>
      <c r="BR39" s="257">
        <v>12103.190957815468</v>
      </c>
      <c r="BS39" s="460">
        <f t="shared" si="95"/>
        <v>52951.809371457886</v>
      </c>
      <c r="BT39" s="465">
        <v>0</v>
      </c>
      <c r="BU39" s="257">
        <v>50855.76000000006</v>
      </c>
      <c r="BV39" s="257">
        <v>0</v>
      </c>
      <c r="BW39" s="257">
        <v>53282.40532594009</v>
      </c>
      <c r="BX39" s="257">
        <v>0</v>
      </c>
      <c r="BY39" s="257">
        <v>49197.838872974171</v>
      </c>
      <c r="BZ39" s="257">
        <v>0</v>
      </c>
      <c r="CA39" s="257">
        <v>67731.260764523046</v>
      </c>
      <c r="CB39" s="462">
        <f t="shared" si="96"/>
        <v>221067.2649634374</v>
      </c>
      <c r="CC39" s="463">
        <f t="shared" si="97"/>
        <v>274019.0743348953</v>
      </c>
      <c r="CD39" s="343">
        <v>17</v>
      </c>
      <c r="CE39" s="462">
        <f t="shared" si="98"/>
        <v>597026.46999999869</v>
      </c>
      <c r="CF39" s="462">
        <f t="shared" si="99"/>
        <v>512948.10292984155</v>
      </c>
      <c r="CG39" s="462">
        <f t="shared" si="100"/>
        <v>463710.85424376378</v>
      </c>
      <c r="CH39" s="462">
        <f t="shared" si="101"/>
        <v>469110.0321275118</v>
      </c>
      <c r="CI39" s="464">
        <f t="shared" si="102"/>
        <v>2042795.4593011162</v>
      </c>
      <c r="CJ39" s="462">
        <f t="shared" si="103"/>
        <v>1158991.1500000015</v>
      </c>
      <c r="CK39" s="462">
        <f t="shared" si="104"/>
        <v>1259792.3074635244</v>
      </c>
      <c r="CL39" s="462">
        <f t="shared" si="105"/>
        <v>1274943.0524334956</v>
      </c>
      <c r="CM39" s="462">
        <f t="shared" si="106"/>
        <v>1282975.118174986</v>
      </c>
      <c r="CN39" s="464">
        <f t="shared" si="107"/>
        <v>4976701.6280720076</v>
      </c>
      <c r="CO39" s="462">
        <f t="shared" si="108"/>
        <v>1756017.6200000003</v>
      </c>
      <c r="CP39" s="462">
        <f t="shared" si="109"/>
        <v>1772740.4103933659</v>
      </c>
      <c r="CQ39" s="462">
        <f t="shared" si="110"/>
        <v>1738653.9066772594</v>
      </c>
      <c r="CR39" s="462">
        <f t="shared" si="111"/>
        <v>1752085.1503024977</v>
      </c>
      <c r="CS39" s="464">
        <f t="shared" si="112"/>
        <v>7019497.0873731226</v>
      </c>
    </row>
    <row r="40" spans="1:102" ht="15.75" customHeight="1" x14ac:dyDescent="0.25">
      <c r="A40" s="94" t="s">
        <v>236</v>
      </c>
      <c r="B40" s="343">
        <v>18</v>
      </c>
      <c r="C40" s="257">
        <v>1440.4499999999987</v>
      </c>
      <c r="D40" s="257">
        <v>8274.4299999999912</v>
      </c>
      <c r="E40" s="257">
        <v>1902.8284369714936</v>
      </c>
      <c r="F40" s="257">
        <v>10348.849232504752</v>
      </c>
      <c r="G40" s="257">
        <v>2502.5813923298206</v>
      </c>
      <c r="H40" s="257">
        <v>8892.3961315793294</v>
      </c>
      <c r="I40" s="257">
        <v>2076.4925714784849</v>
      </c>
      <c r="J40" s="257">
        <v>7128.6014310475748</v>
      </c>
      <c r="K40" s="460">
        <f t="shared" si="86"/>
        <v>42566.629195911439</v>
      </c>
      <c r="L40" s="465">
        <v>0</v>
      </c>
      <c r="M40" s="257">
        <v>0</v>
      </c>
      <c r="N40" s="257">
        <v>0</v>
      </c>
      <c r="O40" s="257">
        <v>0</v>
      </c>
      <c r="P40" s="257">
        <v>0</v>
      </c>
      <c r="Q40" s="257">
        <v>0</v>
      </c>
      <c r="R40" s="257">
        <v>0</v>
      </c>
      <c r="S40" s="257">
        <v>0</v>
      </c>
      <c r="T40" s="462">
        <f t="shared" si="87"/>
        <v>0</v>
      </c>
      <c r="U40" s="463">
        <f t="shared" si="88"/>
        <v>42566.629195911439</v>
      </c>
      <c r="V40" s="343">
        <v>18</v>
      </c>
      <c r="W40" s="257">
        <v>69.999999999999929</v>
      </c>
      <c r="X40" s="257">
        <v>2191.4599999999978</v>
      </c>
      <c r="Y40" s="257">
        <v>0</v>
      </c>
      <c r="Z40" s="257">
        <v>1747.0821949330675</v>
      </c>
      <c r="AA40" s="257">
        <v>0</v>
      </c>
      <c r="AB40" s="257">
        <v>1719.707346307775</v>
      </c>
      <c r="AC40" s="257">
        <v>60.326329028165496</v>
      </c>
      <c r="AD40" s="257">
        <v>3067.7144837402711</v>
      </c>
      <c r="AE40" s="460">
        <f t="shared" si="89"/>
        <v>8856.2903540092775</v>
      </c>
      <c r="AF40" s="465">
        <v>0</v>
      </c>
      <c r="AG40" s="257">
        <v>0</v>
      </c>
      <c r="AH40" s="257">
        <v>0</v>
      </c>
      <c r="AI40" s="257">
        <v>0</v>
      </c>
      <c r="AJ40" s="257">
        <v>0</v>
      </c>
      <c r="AK40" s="257">
        <v>0</v>
      </c>
      <c r="AL40" s="257">
        <v>0</v>
      </c>
      <c r="AM40" s="257">
        <v>0</v>
      </c>
      <c r="AN40" s="462">
        <f t="shared" si="90"/>
        <v>0</v>
      </c>
      <c r="AO40" s="463">
        <f t="shared" si="91"/>
        <v>8856.2903540092775</v>
      </c>
      <c r="AP40" s="343">
        <v>18</v>
      </c>
      <c r="AQ40" s="257">
        <v>4788.7499999999964</v>
      </c>
      <c r="AR40" s="257">
        <v>23084.559999999972</v>
      </c>
      <c r="AS40" s="257">
        <v>4903.6413775500423</v>
      </c>
      <c r="AT40" s="257">
        <v>22675.834755480599</v>
      </c>
      <c r="AU40" s="257">
        <v>4514.8363557636767</v>
      </c>
      <c r="AV40" s="257">
        <v>17101.944167760346</v>
      </c>
      <c r="AW40" s="257">
        <v>4138.8989451288917</v>
      </c>
      <c r="AX40" s="257">
        <v>18440.180244967294</v>
      </c>
      <c r="AY40" s="460">
        <f t="shared" si="92"/>
        <v>99648.645846650819</v>
      </c>
      <c r="AZ40" s="465">
        <v>0</v>
      </c>
      <c r="BA40" s="257">
        <v>0</v>
      </c>
      <c r="BB40" s="257">
        <v>0</v>
      </c>
      <c r="BC40" s="257">
        <v>0</v>
      </c>
      <c r="BD40" s="257">
        <v>0</v>
      </c>
      <c r="BE40" s="257">
        <v>0</v>
      </c>
      <c r="BF40" s="257">
        <v>0</v>
      </c>
      <c r="BG40" s="257">
        <v>0</v>
      </c>
      <c r="BH40" s="462">
        <f t="shared" si="93"/>
        <v>0</v>
      </c>
      <c r="BI40" s="463">
        <f t="shared" si="94"/>
        <v>99648.645846650819</v>
      </c>
      <c r="BJ40" s="343">
        <v>18</v>
      </c>
      <c r="BK40" s="257">
        <v>0</v>
      </c>
      <c r="BL40" s="257">
        <v>1278.9899999999984</v>
      </c>
      <c r="BM40" s="257">
        <v>0</v>
      </c>
      <c r="BN40" s="257">
        <v>623.85505889134924</v>
      </c>
      <c r="BO40" s="257">
        <v>0</v>
      </c>
      <c r="BP40" s="257">
        <v>1335.9357417773272</v>
      </c>
      <c r="BQ40" s="257">
        <v>0</v>
      </c>
      <c r="BR40" s="257">
        <v>914.42649540893262</v>
      </c>
      <c r="BS40" s="460">
        <f t="shared" si="95"/>
        <v>4153.2072960776077</v>
      </c>
      <c r="BT40" s="465">
        <v>0</v>
      </c>
      <c r="BU40" s="257">
        <v>0</v>
      </c>
      <c r="BV40" s="257">
        <v>0</v>
      </c>
      <c r="BW40" s="257">
        <v>0</v>
      </c>
      <c r="BX40" s="257">
        <v>0</v>
      </c>
      <c r="BY40" s="257">
        <v>0</v>
      </c>
      <c r="BZ40" s="257">
        <v>0</v>
      </c>
      <c r="CA40" s="257">
        <v>0</v>
      </c>
      <c r="CB40" s="462">
        <f t="shared" si="96"/>
        <v>0</v>
      </c>
      <c r="CC40" s="463">
        <f t="shared" si="97"/>
        <v>4153.2072960776077</v>
      </c>
      <c r="CD40" s="343">
        <v>18</v>
      </c>
      <c r="CE40" s="462">
        <f t="shared" si="98"/>
        <v>41128.639999999948</v>
      </c>
      <c r="CF40" s="462">
        <f t="shared" si="99"/>
        <v>42202.091056331308</v>
      </c>
      <c r="CG40" s="462">
        <f t="shared" si="100"/>
        <v>36067.401135518274</v>
      </c>
      <c r="CH40" s="462">
        <f t="shared" si="101"/>
        <v>35826.640500799607</v>
      </c>
      <c r="CI40" s="464">
        <f t="shared" si="102"/>
        <v>155224.77269264913</v>
      </c>
      <c r="CJ40" s="462">
        <f t="shared" si="103"/>
        <v>0</v>
      </c>
      <c r="CK40" s="462">
        <f t="shared" si="104"/>
        <v>0</v>
      </c>
      <c r="CL40" s="462">
        <f t="shared" si="105"/>
        <v>0</v>
      </c>
      <c r="CM40" s="462">
        <f t="shared" si="106"/>
        <v>0</v>
      </c>
      <c r="CN40" s="464">
        <f t="shared" si="107"/>
        <v>0</v>
      </c>
      <c r="CO40" s="462">
        <f t="shared" si="108"/>
        <v>41128.639999999948</v>
      </c>
      <c r="CP40" s="462">
        <f t="shared" si="109"/>
        <v>42202.091056331308</v>
      </c>
      <c r="CQ40" s="462">
        <f t="shared" si="110"/>
        <v>36067.401135518274</v>
      </c>
      <c r="CR40" s="462">
        <f t="shared" si="111"/>
        <v>35826.640500799607</v>
      </c>
      <c r="CS40" s="464">
        <f t="shared" si="112"/>
        <v>155224.77269264916</v>
      </c>
    </row>
    <row r="41" spans="1:102" ht="15.75" customHeight="1" x14ac:dyDescent="0.25">
      <c r="A41" s="94" t="s">
        <v>201</v>
      </c>
      <c r="B41" s="343">
        <v>19</v>
      </c>
      <c r="C41" s="257">
        <v>6242</v>
      </c>
      <c r="D41" s="257">
        <v>156542</v>
      </c>
      <c r="E41" s="257">
        <v>7164</v>
      </c>
      <c r="F41" s="257">
        <v>128195</v>
      </c>
      <c r="G41" s="257">
        <v>16615</v>
      </c>
      <c r="H41" s="257">
        <v>131346.49377672837</v>
      </c>
      <c r="I41" s="257">
        <v>18402</v>
      </c>
      <c r="J41" s="257">
        <v>123686</v>
      </c>
      <c r="K41" s="460">
        <f t="shared" si="86"/>
        <v>588192.4937767284</v>
      </c>
      <c r="L41" s="465">
        <v>0</v>
      </c>
      <c r="M41" s="257">
        <v>0</v>
      </c>
      <c r="N41" s="257">
        <v>0</v>
      </c>
      <c r="O41" s="257">
        <v>0</v>
      </c>
      <c r="P41" s="257">
        <v>0</v>
      </c>
      <c r="Q41" s="257">
        <v>68.689272559225614</v>
      </c>
      <c r="R41" s="257">
        <v>0</v>
      </c>
      <c r="S41" s="257">
        <v>0</v>
      </c>
      <c r="T41" s="462">
        <f t="shared" si="87"/>
        <v>68.689272559225614</v>
      </c>
      <c r="U41" s="463">
        <f t="shared" si="88"/>
        <v>588261.18304928765</v>
      </c>
      <c r="V41" s="343">
        <v>19</v>
      </c>
      <c r="W41" s="257">
        <v>0</v>
      </c>
      <c r="X41" s="257">
        <v>49162</v>
      </c>
      <c r="Y41" s="257">
        <v>0</v>
      </c>
      <c r="Z41" s="257">
        <v>42410</v>
      </c>
      <c r="AA41" s="257">
        <v>0</v>
      </c>
      <c r="AB41" s="257">
        <v>35320</v>
      </c>
      <c r="AC41" s="257">
        <v>0</v>
      </c>
      <c r="AD41" s="257">
        <v>50625</v>
      </c>
      <c r="AE41" s="460">
        <f t="shared" si="89"/>
        <v>177517</v>
      </c>
      <c r="AF41" s="465">
        <v>0</v>
      </c>
      <c r="AG41" s="257">
        <v>0</v>
      </c>
      <c r="AH41" s="257">
        <v>0</v>
      </c>
      <c r="AI41" s="257">
        <v>0</v>
      </c>
      <c r="AJ41" s="257">
        <v>0</v>
      </c>
      <c r="AK41" s="257">
        <v>0</v>
      </c>
      <c r="AL41" s="257">
        <v>0</v>
      </c>
      <c r="AM41" s="257">
        <v>0</v>
      </c>
      <c r="AN41" s="462">
        <f t="shared" si="90"/>
        <v>0</v>
      </c>
      <c r="AO41" s="463">
        <f t="shared" si="91"/>
        <v>177517</v>
      </c>
      <c r="AP41" s="343">
        <v>19</v>
      </c>
      <c r="AQ41" s="257">
        <v>31685</v>
      </c>
      <c r="AR41" s="257">
        <v>249785.62</v>
      </c>
      <c r="AS41" s="257">
        <v>22832</v>
      </c>
      <c r="AT41" s="257">
        <v>208815.42421565013</v>
      </c>
      <c r="AU41" s="257">
        <v>19928</v>
      </c>
      <c r="AV41" s="257">
        <v>282898.34016647132</v>
      </c>
      <c r="AW41" s="257">
        <v>31483</v>
      </c>
      <c r="AX41" s="257">
        <v>244002.47649703961</v>
      </c>
      <c r="AY41" s="460">
        <f t="shared" si="92"/>
        <v>1091429.8608791609</v>
      </c>
      <c r="AZ41" s="465">
        <v>0</v>
      </c>
      <c r="BA41" s="257">
        <v>449.32000000000005</v>
      </c>
      <c r="BB41" s="257">
        <v>0</v>
      </c>
      <c r="BC41" s="257">
        <v>158.5556270033648</v>
      </c>
      <c r="BD41" s="257">
        <v>0</v>
      </c>
      <c r="BE41" s="257">
        <v>260.47357327949334</v>
      </c>
      <c r="BF41" s="257">
        <v>0</v>
      </c>
      <c r="BG41" s="257">
        <v>235.44102291484296</v>
      </c>
      <c r="BH41" s="462">
        <f t="shared" si="93"/>
        <v>1103.7902231977012</v>
      </c>
      <c r="BI41" s="463">
        <f t="shared" si="94"/>
        <v>1092533.6511023587</v>
      </c>
      <c r="BJ41" s="343">
        <v>19</v>
      </c>
      <c r="BK41" s="257">
        <v>0</v>
      </c>
      <c r="BL41" s="257">
        <v>298</v>
      </c>
      <c r="BM41" s="257">
        <v>0</v>
      </c>
      <c r="BN41" s="257">
        <v>1491.6000000000001</v>
      </c>
      <c r="BO41" s="257">
        <v>0</v>
      </c>
      <c r="BP41" s="257">
        <v>1613</v>
      </c>
      <c r="BQ41" s="257">
        <v>0</v>
      </c>
      <c r="BR41" s="257">
        <v>1408</v>
      </c>
      <c r="BS41" s="460">
        <f t="shared" si="95"/>
        <v>4810.6000000000004</v>
      </c>
      <c r="BT41" s="465">
        <v>0</v>
      </c>
      <c r="BU41" s="257">
        <v>0</v>
      </c>
      <c r="BV41" s="257">
        <v>0</v>
      </c>
      <c r="BW41" s="257">
        <v>0</v>
      </c>
      <c r="BX41" s="257">
        <v>0</v>
      </c>
      <c r="BY41" s="257">
        <v>0</v>
      </c>
      <c r="BZ41" s="257">
        <v>0</v>
      </c>
      <c r="CA41" s="257">
        <v>0</v>
      </c>
      <c r="CB41" s="462">
        <f t="shared" si="96"/>
        <v>0</v>
      </c>
      <c r="CC41" s="463">
        <f t="shared" si="97"/>
        <v>4810.6000000000004</v>
      </c>
      <c r="CD41" s="343">
        <v>19</v>
      </c>
      <c r="CE41" s="462">
        <f t="shared" si="98"/>
        <v>493714.62</v>
      </c>
      <c r="CF41" s="462">
        <f t="shared" si="99"/>
        <v>410908.0242156501</v>
      </c>
      <c r="CG41" s="462">
        <f t="shared" si="100"/>
        <v>487720.83394319972</v>
      </c>
      <c r="CH41" s="462">
        <f t="shared" si="101"/>
        <v>469606.47649703961</v>
      </c>
      <c r="CI41" s="464">
        <f t="shared" si="102"/>
        <v>1861949.9546558894</v>
      </c>
      <c r="CJ41" s="462">
        <f t="shared" si="103"/>
        <v>449.32000000000005</v>
      </c>
      <c r="CK41" s="462">
        <f t="shared" si="104"/>
        <v>158.5556270033648</v>
      </c>
      <c r="CL41" s="462">
        <f t="shared" si="105"/>
        <v>329.16284583871897</v>
      </c>
      <c r="CM41" s="462">
        <f t="shared" si="106"/>
        <v>235.44102291484296</v>
      </c>
      <c r="CN41" s="464">
        <f t="shared" si="107"/>
        <v>1172.4794957569268</v>
      </c>
      <c r="CO41" s="462">
        <f t="shared" si="108"/>
        <v>494163.94</v>
      </c>
      <c r="CP41" s="462">
        <f t="shared" si="109"/>
        <v>411066.57984265347</v>
      </c>
      <c r="CQ41" s="462">
        <f t="shared" si="110"/>
        <v>488049.99678903841</v>
      </c>
      <c r="CR41" s="462">
        <f t="shared" si="111"/>
        <v>469841.91751995444</v>
      </c>
      <c r="CS41" s="464">
        <f t="shared" si="112"/>
        <v>1863122.4341516464</v>
      </c>
    </row>
    <row r="42" spans="1:102" ht="15.75" customHeight="1" x14ac:dyDescent="0.25">
      <c r="A42" s="94" t="s">
        <v>239</v>
      </c>
      <c r="B42" s="343">
        <v>20</v>
      </c>
      <c r="C42" s="257">
        <v>169.93999999999983</v>
      </c>
      <c r="D42" s="257">
        <v>2643.4199999999973</v>
      </c>
      <c r="E42" s="257">
        <v>77.438075650390644</v>
      </c>
      <c r="F42" s="257">
        <v>772.70058128638527</v>
      </c>
      <c r="G42" s="257">
        <v>1160.1468176408102</v>
      </c>
      <c r="H42" s="257">
        <v>1439.2061020518877</v>
      </c>
      <c r="I42" s="257">
        <v>2071.7569546497739</v>
      </c>
      <c r="J42" s="257">
        <v>8502.8553150855259</v>
      </c>
      <c r="K42" s="460">
        <f t="shared" si="86"/>
        <v>16837.463846364772</v>
      </c>
      <c r="L42" s="465">
        <v>0</v>
      </c>
      <c r="M42" s="257">
        <v>3305.2199999999993</v>
      </c>
      <c r="N42" s="257">
        <v>0</v>
      </c>
      <c r="O42" s="257">
        <v>2500.3479930650524</v>
      </c>
      <c r="P42" s="257">
        <v>0</v>
      </c>
      <c r="Q42" s="257">
        <v>5490.6079917712304</v>
      </c>
      <c r="R42" s="257">
        <v>0</v>
      </c>
      <c r="S42" s="257">
        <v>6452.4092913352988</v>
      </c>
      <c r="T42" s="462">
        <f t="shared" si="87"/>
        <v>17748.58527617158</v>
      </c>
      <c r="U42" s="463">
        <f t="shared" si="88"/>
        <v>34586.049122536351</v>
      </c>
      <c r="V42" s="343">
        <v>20</v>
      </c>
      <c r="W42" s="257">
        <v>0</v>
      </c>
      <c r="X42" s="257">
        <v>1194.7899999999988</v>
      </c>
      <c r="Y42" s="257">
        <v>0</v>
      </c>
      <c r="Z42" s="257">
        <v>2369.3870921653938</v>
      </c>
      <c r="AA42" s="257">
        <v>0</v>
      </c>
      <c r="AB42" s="257">
        <v>2011.7342557121174</v>
      </c>
      <c r="AC42" s="257">
        <v>0</v>
      </c>
      <c r="AD42" s="257">
        <v>2207.581684456688</v>
      </c>
      <c r="AE42" s="460">
        <f t="shared" si="89"/>
        <v>7783.4930323341978</v>
      </c>
      <c r="AF42" s="465">
        <v>0</v>
      </c>
      <c r="AG42" s="257">
        <v>2268.19</v>
      </c>
      <c r="AH42" s="257">
        <v>0</v>
      </c>
      <c r="AI42" s="257">
        <v>2215.7563520686053</v>
      </c>
      <c r="AJ42" s="257">
        <v>0</v>
      </c>
      <c r="AK42" s="257">
        <v>3000.982961647102</v>
      </c>
      <c r="AL42" s="257">
        <v>0</v>
      </c>
      <c r="AM42" s="257">
        <v>2176.3166041214281</v>
      </c>
      <c r="AN42" s="462">
        <f t="shared" si="90"/>
        <v>9661.2459178371355</v>
      </c>
      <c r="AO42" s="463">
        <f t="shared" si="91"/>
        <v>17444.738950171333</v>
      </c>
      <c r="AP42" s="343">
        <v>20</v>
      </c>
      <c r="AQ42" s="257">
        <v>3110.8099999999972</v>
      </c>
      <c r="AR42" s="257">
        <v>18352.729999999981</v>
      </c>
      <c r="AS42" s="257">
        <v>4513.7307156125798</v>
      </c>
      <c r="AT42" s="257">
        <v>17364.530864736549</v>
      </c>
      <c r="AU42" s="257">
        <v>6553.0465964041305</v>
      </c>
      <c r="AV42" s="257">
        <v>12811.963425296903</v>
      </c>
      <c r="AW42" s="257">
        <v>3643.6398925839962</v>
      </c>
      <c r="AX42" s="257">
        <v>10367.713069945035</v>
      </c>
      <c r="AY42" s="460">
        <f t="shared" si="92"/>
        <v>76718.164564579172</v>
      </c>
      <c r="AZ42" s="465">
        <v>0</v>
      </c>
      <c r="BA42" s="257">
        <v>11274.27</v>
      </c>
      <c r="BB42" s="257">
        <v>0</v>
      </c>
      <c r="BC42" s="257">
        <v>15831.698307404306</v>
      </c>
      <c r="BD42" s="257">
        <v>0</v>
      </c>
      <c r="BE42" s="257">
        <v>16742.498627768517</v>
      </c>
      <c r="BF42" s="257">
        <v>0</v>
      </c>
      <c r="BG42" s="257">
        <v>19754.252200044401</v>
      </c>
      <c r="BH42" s="462">
        <f t="shared" si="93"/>
        <v>63602.719135217223</v>
      </c>
      <c r="BI42" s="463">
        <f t="shared" si="94"/>
        <v>140320.8836997964</v>
      </c>
      <c r="BJ42" s="343">
        <v>20</v>
      </c>
      <c r="BK42" s="257">
        <v>0</v>
      </c>
      <c r="BL42" s="257">
        <v>142.39999999999986</v>
      </c>
      <c r="BM42" s="257">
        <v>0</v>
      </c>
      <c r="BN42" s="257">
        <v>42.154396082448216</v>
      </c>
      <c r="BO42" s="257">
        <v>0</v>
      </c>
      <c r="BP42" s="257">
        <v>1676.2683059828412</v>
      </c>
      <c r="BQ42" s="257">
        <v>0</v>
      </c>
      <c r="BR42" s="257">
        <v>31.16860333121884</v>
      </c>
      <c r="BS42" s="460">
        <f t="shared" si="95"/>
        <v>1891.9913053965083</v>
      </c>
      <c r="BT42" s="465">
        <v>0</v>
      </c>
      <c r="BU42" s="257">
        <v>122.99999999999996</v>
      </c>
      <c r="BV42" s="257">
        <v>0</v>
      </c>
      <c r="BW42" s="257">
        <v>165.33971857904834</v>
      </c>
      <c r="BX42" s="257">
        <v>0</v>
      </c>
      <c r="BY42" s="257">
        <v>96.233189388611393</v>
      </c>
      <c r="BZ42" s="257">
        <v>0</v>
      </c>
      <c r="CA42" s="257">
        <v>125.06291484510163</v>
      </c>
      <c r="CB42" s="462">
        <f t="shared" si="96"/>
        <v>509.63582281276126</v>
      </c>
      <c r="CC42" s="463">
        <f t="shared" si="97"/>
        <v>2401.6271282092694</v>
      </c>
      <c r="CD42" s="343">
        <v>20</v>
      </c>
      <c r="CE42" s="462">
        <f t="shared" si="98"/>
        <v>25614.089999999975</v>
      </c>
      <c r="CF42" s="462">
        <f t="shared" si="99"/>
        <v>25139.941725533747</v>
      </c>
      <c r="CG42" s="462">
        <f t="shared" si="100"/>
        <v>25652.365503088688</v>
      </c>
      <c r="CH42" s="462">
        <f t="shared" si="101"/>
        <v>26824.715520052239</v>
      </c>
      <c r="CI42" s="464">
        <f t="shared" si="102"/>
        <v>103231.11274867466</v>
      </c>
      <c r="CJ42" s="462">
        <f t="shared" si="103"/>
        <v>16970.68</v>
      </c>
      <c r="CK42" s="462">
        <f t="shared" si="104"/>
        <v>20713.14237111701</v>
      </c>
      <c r="CL42" s="462">
        <f t="shared" si="105"/>
        <v>25330.322770575458</v>
      </c>
      <c r="CM42" s="462">
        <f t="shared" si="106"/>
        <v>28508.041010346227</v>
      </c>
      <c r="CN42" s="464">
        <f t="shared" si="107"/>
        <v>91522.186152038703</v>
      </c>
      <c r="CO42" s="462">
        <f t="shared" si="108"/>
        <v>42584.769999999982</v>
      </c>
      <c r="CP42" s="462">
        <f t="shared" si="109"/>
        <v>45853.08409665076</v>
      </c>
      <c r="CQ42" s="462">
        <f t="shared" si="110"/>
        <v>50982.688273664156</v>
      </c>
      <c r="CR42" s="462">
        <f t="shared" si="111"/>
        <v>55332.756530398474</v>
      </c>
      <c r="CS42" s="464">
        <f t="shared" si="112"/>
        <v>194753.29890071336</v>
      </c>
    </row>
    <row r="43" spans="1:102" ht="15.75" customHeight="1" x14ac:dyDescent="0.25">
      <c r="A43" s="94" t="s">
        <v>1417</v>
      </c>
      <c r="B43" s="343">
        <v>21</v>
      </c>
      <c r="C43" s="257"/>
      <c r="D43" s="257"/>
      <c r="E43" s="257"/>
      <c r="F43" s="257"/>
      <c r="G43" s="257"/>
      <c r="H43" s="257"/>
      <c r="I43" s="257"/>
      <c r="J43" s="257"/>
      <c r="K43" s="460">
        <f t="shared" si="86"/>
        <v>0</v>
      </c>
      <c r="L43" s="465"/>
      <c r="M43" s="257">
        <f>M19</f>
        <v>196765</v>
      </c>
      <c r="N43" s="257">
        <f t="shared" ref="N43:S43" si="113">N19</f>
        <v>0</v>
      </c>
      <c r="O43" s="257">
        <f t="shared" si="113"/>
        <v>216571</v>
      </c>
      <c r="P43" s="257">
        <f t="shared" si="113"/>
        <v>0</v>
      </c>
      <c r="Q43" s="257">
        <f t="shared" si="113"/>
        <v>272854</v>
      </c>
      <c r="R43" s="257">
        <f t="shared" si="113"/>
        <v>0</v>
      </c>
      <c r="S43" s="257">
        <f t="shared" si="113"/>
        <v>274087</v>
      </c>
      <c r="T43" s="462">
        <f t="shared" si="87"/>
        <v>960277</v>
      </c>
      <c r="U43" s="463">
        <f t="shared" si="88"/>
        <v>960277</v>
      </c>
      <c r="V43" s="343">
        <v>21</v>
      </c>
      <c r="W43" s="257"/>
      <c r="X43" s="257"/>
      <c r="Y43" s="257"/>
      <c r="Z43" s="257"/>
      <c r="AA43" s="257"/>
      <c r="AB43" s="257"/>
      <c r="AC43" s="257"/>
      <c r="AD43" s="257"/>
      <c r="AE43" s="460">
        <f t="shared" si="89"/>
        <v>0</v>
      </c>
      <c r="AF43" s="465"/>
      <c r="AG43" s="257">
        <f>AG19</f>
        <v>72348</v>
      </c>
      <c r="AH43" s="257"/>
      <c r="AI43" s="257">
        <f>AI19</f>
        <v>104866</v>
      </c>
      <c r="AJ43" s="257"/>
      <c r="AK43" s="257">
        <f>AK19</f>
        <v>133884</v>
      </c>
      <c r="AL43" s="257"/>
      <c r="AM43" s="257">
        <f>AM19</f>
        <v>101556</v>
      </c>
      <c r="AN43" s="462">
        <f t="shared" si="90"/>
        <v>412654</v>
      </c>
      <c r="AO43" s="463">
        <f t="shared" si="91"/>
        <v>412654</v>
      </c>
      <c r="AP43" s="343">
        <v>21</v>
      </c>
      <c r="AQ43" s="257">
        <f t="shared" ref="AQ43:AX43" si="114">AQ19</f>
        <v>0</v>
      </c>
      <c r="AR43" s="257">
        <f t="shared" si="114"/>
        <v>0</v>
      </c>
      <c r="AS43" s="257">
        <f t="shared" si="114"/>
        <v>0</v>
      </c>
      <c r="AT43" s="257">
        <f t="shared" si="114"/>
        <v>0</v>
      </c>
      <c r="AU43" s="257">
        <f t="shared" si="114"/>
        <v>0</v>
      </c>
      <c r="AV43" s="257">
        <f t="shared" si="114"/>
        <v>0</v>
      </c>
      <c r="AW43" s="257">
        <f t="shared" si="114"/>
        <v>0</v>
      </c>
      <c r="AX43" s="257">
        <f t="shared" si="114"/>
        <v>0</v>
      </c>
      <c r="AY43" s="460">
        <f t="shared" si="92"/>
        <v>0</v>
      </c>
      <c r="AZ43" s="465">
        <f t="shared" ref="AZ43:BG43" si="115">AZ19</f>
        <v>0</v>
      </c>
      <c r="BA43" s="257">
        <f t="shared" si="115"/>
        <v>1548052</v>
      </c>
      <c r="BB43" s="257">
        <f t="shared" si="115"/>
        <v>0</v>
      </c>
      <c r="BC43" s="257">
        <f t="shared" si="115"/>
        <v>1715727</v>
      </c>
      <c r="BD43" s="257">
        <f t="shared" si="115"/>
        <v>0</v>
      </c>
      <c r="BE43" s="257">
        <f t="shared" si="115"/>
        <v>1933610</v>
      </c>
      <c r="BF43" s="257">
        <f t="shared" si="115"/>
        <v>0</v>
      </c>
      <c r="BG43" s="257">
        <f t="shared" si="115"/>
        <v>1974205</v>
      </c>
      <c r="BH43" s="462">
        <f t="shared" si="93"/>
        <v>7171594</v>
      </c>
      <c r="BI43" s="463">
        <f t="shared" si="94"/>
        <v>7171594</v>
      </c>
      <c r="BJ43" s="343">
        <v>21</v>
      </c>
      <c r="BK43" s="257">
        <f t="shared" ref="BK43:BR43" si="116">BK19</f>
        <v>0</v>
      </c>
      <c r="BL43" s="257">
        <f t="shared" si="116"/>
        <v>0</v>
      </c>
      <c r="BM43" s="257">
        <f t="shared" si="116"/>
        <v>0</v>
      </c>
      <c r="BN43" s="257">
        <f t="shared" si="116"/>
        <v>0</v>
      </c>
      <c r="BO43" s="257">
        <f t="shared" si="116"/>
        <v>0</v>
      </c>
      <c r="BP43" s="257">
        <f t="shared" si="116"/>
        <v>0</v>
      </c>
      <c r="BQ43" s="257">
        <f t="shared" si="116"/>
        <v>0</v>
      </c>
      <c r="BR43" s="257">
        <f t="shared" si="116"/>
        <v>0</v>
      </c>
      <c r="BS43" s="460">
        <f t="shared" si="95"/>
        <v>0</v>
      </c>
      <c r="BT43" s="465">
        <f t="shared" ref="BT43:CA43" si="117">BT19</f>
        <v>0</v>
      </c>
      <c r="BU43" s="257">
        <f t="shared" si="117"/>
        <v>102712</v>
      </c>
      <c r="BV43" s="257">
        <f t="shared" si="117"/>
        <v>0</v>
      </c>
      <c r="BW43" s="257">
        <f t="shared" si="117"/>
        <v>130420</v>
      </c>
      <c r="BX43" s="257">
        <f t="shared" si="117"/>
        <v>0</v>
      </c>
      <c r="BY43" s="257">
        <f t="shared" si="117"/>
        <v>100408</v>
      </c>
      <c r="BZ43" s="257">
        <f t="shared" si="117"/>
        <v>0</v>
      </c>
      <c r="CA43" s="257">
        <f t="shared" si="117"/>
        <v>60838</v>
      </c>
      <c r="CB43" s="462">
        <f t="shared" si="96"/>
        <v>394378</v>
      </c>
      <c r="CC43" s="463">
        <f t="shared" si="97"/>
        <v>394378</v>
      </c>
      <c r="CD43" s="343">
        <v>21</v>
      </c>
      <c r="CE43" s="462">
        <f t="shared" si="98"/>
        <v>0</v>
      </c>
      <c r="CF43" s="462">
        <f t="shared" si="99"/>
        <v>0</v>
      </c>
      <c r="CG43" s="462">
        <f t="shared" si="100"/>
        <v>0</v>
      </c>
      <c r="CH43" s="462">
        <f t="shared" si="101"/>
        <v>0</v>
      </c>
      <c r="CI43" s="464">
        <f t="shared" si="102"/>
        <v>0</v>
      </c>
      <c r="CJ43" s="462">
        <f t="shared" si="103"/>
        <v>1919877</v>
      </c>
      <c r="CK43" s="462">
        <f t="shared" si="104"/>
        <v>2167584</v>
      </c>
      <c r="CL43" s="462">
        <f t="shared" si="105"/>
        <v>2440756</v>
      </c>
      <c r="CM43" s="462">
        <f t="shared" si="106"/>
        <v>2410686</v>
      </c>
      <c r="CN43" s="464">
        <f t="shared" si="107"/>
        <v>8938903</v>
      </c>
      <c r="CO43" s="462">
        <f t="shared" si="108"/>
        <v>1919877</v>
      </c>
      <c r="CP43" s="462">
        <f t="shared" si="109"/>
        <v>2167584</v>
      </c>
      <c r="CQ43" s="462">
        <f t="shared" si="110"/>
        <v>2440756</v>
      </c>
      <c r="CR43" s="462">
        <f t="shared" si="111"/>
        <v>2410686</v>
      </c>
      <c r="CS43" s="464">
        <f t="shared" si="112"/>
        <v>8938903</v>
      </c>
    </row>
    <row r="44" spans="1:102" ht="15.75" customHeight="1" x14ac:dyDescent="0.25">
      <c r="A44" s="94" t="s">
        <v>1348</v>
      </c>
      <c r="B44" s="343">
        <v>22</v>
      </c>
      <c r="C44" s="257">
        <v>12568.519999999995</v>
      </c>
      <c r="D44" s="257">
        <v>0</v>
      </c>
      <c r="E44" s="257">
        <v>25345.869399010739</v>
      </c>
      <c r="F44" s="257">
        <v>4507.4000554179911</v>
      </c>
      <c r="G44" s="257">
        <v>39879.894650586029</v>
      </c>
      <c r="H44" s="257">
        <v>146.86961836002803</v>
      </c>
      <c r="I44" s="257">
        <v>25887.899999999976</v>
      </c>
      <c r="J44" s="257">
        <v>0</v>
      </c>
      <c r="K44" s="460">
        <f t="shared" si="86"/>
        <v>108336.45372337475</v>
      </c>
      <c r="L44" s="465">
        <v>0</v>
      </c>
      <c r="M44" s="465">
        <v>105281.23000000045</v>
      </c>
      <c r="N44" s="465">
        <v>0</v>
      </c>
      <c r="O44" s="465">
        <v>89643.420874867472</v>
      </c>
      <c r="P44" s="465">
        <v>0</v>
      </c>
      <c r="Q44" s="465">
        <v>104039.79787999824</v>
      </c>
      <c r="R44" s="465">
        <v>0</v>
      </c>
      <c r="S44" s="465">
        <v>35323.600000000035</v>
      </c>
      <c r="T44" s="462">
        <f t="shared" si="87"/>
        <v>334288.04875486618</v>
      </c>
      <c r="U44" s="463">
        <f t="shared" si="88"/>
        <v>442624.50247824093</v>
      </c>
      <c r="V44" s="343">
        <v>22</v>
      </c>
      <c r="W44" s="257">
        <v>666.12000000000012</v>
      </c>
      <c r="X44" s="257">
        <v>0</v>
      </c>
      <c r="Y44" s="257">
        <v>132.17000000000002</v>
      </c>
      <c r="Z44" s="257">
        <v>258.76698558416729</v>
      </c>
      <c r="AA44" s="257">
        <v>706.18000000000006</v>
      </c>
      <c r="AB44" s="257">
        <v>0</v>
      </c>
      <c r="AC44" s="257">
        <v>2116.1000000000008</v>
      </c>
      <c r="AD44" s="257">
        <v>0</v>
      </c>
      <c r="AE44" s="460">
        <f t="shared" si="89"/>
        <v>3879.3369855841684</v>
      </c>
      <c r="AF44" s="465">
        <v>0</v>
      </c>
      <c r="AG44" s="465">
        <v>66489.44000000009</v>
      </c>
      <c r="AH44" s="465">
        <v>0</v>
      </c>
      <c r="AI44" s="465">
        <v>62068.869999999879</v>
      </c>
      <c r="AJ44" s="465">
        <v>0</v>
      </c>
      <c r="AK44" s="465">
        <v>102982.27999999997</v>
      </c>
      <c r="AL44" s="465">
        <v>0</v>
      </c>
      <c r="AM44" s="465">
        <v>76836.469999999827</v>
      </c>
      <c r="AN44" s="462">
        <f t="shared" si="90"/>
        <v>308377.05999999976</v>
      </c>
      <c r="AO44" s="463">
        <f t="shared" si="91"/>
        <v>312256.39698558394</v>
      </c>
      <c r="AP44" s="343">
        <v>22</v>
      </c>
      <c r="AQ44" s="257">
        <v>269432.3800000003</v>
      </c>
      <c r="AR44" s="257">
        <v>0</v>
      </c>
      <c r="AS44" s="257">
        <v>301047.81343526853</v>
      </c>
      <c r="AT44" s="257">
        <v>26102.702127259246</v>
      </c>
      <c r="AU44" s="257">
        <v>388598.42</v>
      </c>
      <c r="AV44" s="257">
        <v>79.578158935511198</v>
      </c>
      <c r="AW44" s="257">
        <v>426413.87000000005</v>
      </c>
      <c r="AX44" s="257">
        <v>26.241953127251993</v>
      </c>
      <c r="AY44" s="460">
        <f t="shared" si="92"/>
        <v>1411701.0056745911</v>
      </c>
      <c r="AZ44" s="465">
        <v>0</v>
      </c>
      <c r="BA44" s="465">
        <v>1466052.9199999904</v>
      </c>
      <c r="BB44" s="465">
        <v>0</v>
      </c>
      <c r="BC44" s="465">
        <v>1357221.2045455503</v>
      </c>
      <c r="BD44" s="465">
        <v>0</v>
      </c>
      <c r="BE44" s="465">
        <v>1457486.8033627484</v>
      </c>
      <c r="BF44" s="465">
        <v>0</v>
      </c>
      <c r="BG44" s="465">
        <v>1443612.6190463069</v>
      </c>
      <c r="BH44" s="462">
        <f t="shared" si="93"/>
        <v>5724373.5469545964</v>
      </c>
      <c r="BI44" s="463">
        <f t="shared" si="94"/>
        <v>7136074.5526291877</v>
      </c>
      <c r="BJ44" s="343">
        <v>22</v>
      </c>
      <c r="BK44" s="257">
        <v>1116.4600000000005</v>
      </c>
      <c r="BL44" s="257">
        <v>0</v>
      </c>
      <c r="BM44" s="257">
        <v>280.76</v>
      </c>
      <c r="BN44" s="257">
        <v>723.39543948651112</v>
      </c>
      <c r="BO44" s="257">
        <v>340.7</v>
      </c>
      <c r="BP44" s="257">
        <v>0</v>
      </c>
      <c r="BQ44" s="257">
        <v>369.28</v>
      </c>
      <c r="BR44" s="257">
        <v>0</v>
      </c>
      <c r="BS44" s="460">
        <f t="shared" si="95"/>
        <v>2830.5954394865112</v>
      </c>
      <c r="BT44" s="465">
        <v>0</v>
      </c>
      <c r="BU44" s="465">
        <v>114623.68999999936</v>
      </c>
      <c r="BV44" s="465">
        <v>0</v>
      </c>
      <c r="BW44" s="465">
        <v>152945.43462034271</v>
      </c>
      <c r="BX44" s="465">
        <v>0</v>
      </c>
      <c r="BY44" s="465">
        <v>98471.769999999757</v>
      </c>
      <c r="BZ44" s="465">
        <v>0</v>
      </c>
      <c r="CA44" s="465">
        <v>86809.33000000022</v>
      </c>
      <c r="CB44" s="462">
        <f t="shared" si="96"/>
        <v>452850.22462034202</v>
      </c>
      <c r="CC44" s="463">
        <f t="shared" si="97"/>
        <v>455680.82005982852</v>
      </c>
      <c r="CD44" s="343">
        <v>22</v>
      </c>
      <c r="CE44" s="462">
        <f t="shared" si="98"/>
        <v>283783.48000000033</v>
      </c>
      <c r="CF44" s="462">
        <f t="shared" si="99"/>
        <v>358398.87744202715</v>
      </c>
      <c r="CG44" s="462">
        <f t="shared" si="100"/>
        <v>429751.6424278816</v>
      </c>
      <c r="CH44" s="462">
        <f t="shared" si="101"/>
        <v>454813.39195312734</v>
      </c>
      <c r="CI44" s="464">
        <f t="shared" si="102"/>
        <v>1526747.3918230364</v>
      </c>
      <c r="CJ44" s="462">
        <f t="shared" si="103"/>
        <v>1752447.2799999905</v>
      </c>
      <c r="CK44" s="462">
        <f t="shared" si="104"/>
        <v>1661878.9300407604</v>
      </c>
      <c r="CL44" s="462">
        <f t="shared" si="105"/>
        <v>1762980.6512427463</v>
      </c>
      <c r="CM44" s="462">
        <f t="shared" si="106"/>
        <v>1642582.0190463071</v>
      </c>
      <c r="CN44" s="464">
        <f t="shared" si="107"/>
        <v>6819888.8803298045</v>
      </c>
      <c r="CO44" s="462">
        <f t="shared" si="108"/>
        <v>2036230.7599999905</v>
      </c>
      <c r="CP44" s="462">
        <f t="shared" si="109"/>
        <v>2020277.8074827874</v>
      </c>
      <c r="CQ44" s="462">
        <f t="shared" si="110"/>
        <v>2192732.2936706278</v>
      </c>
      <c r="CR44" s="462">
        <f t="shared" si="111"/>
        <v>2097395.4109994345</v>
      </c>
      <c r="CS44" s="464">
        <f t="shared" si="112"/>
        <v>8346636.2721528411</v>
      </c>
      <c r="CU44" s="362"/>
      <c r="CV44" s="362"/>
    </row>
    <row r="45" spans="1:102" ht="15.75" customHeight="1" x14ac:dyDescent="0.25">
      <c r="A45" s="94" t="s">
        <v>1349</v>
      </c>
      <c r="B45" s="343">
        <v>23</v>
      </c>
      <c r="C45" s="257">
        <v>9156.7776785485967</v>
      </c>
      <c r="D45" s="257">
        <v>0</v>
      </c>
      <c r="E45" s="257">
        <v>19457.290962773739</v>
      </c>
      <c r="F45" s="257">
        <v>4507.4000554179911</v>
      </c>
      <c r="G45" s="257">
        <v>31527.241946913888</v>
      </c>
      <c r="H45" s="257">
        <v>146.86961836002803</v>
      </c>
      <c r="I45" s="257">
        <v>20801.025370567917</v>
      </c>
      <c r="J45" s="257">
        <v>0</v>
      </c>
      <c r="K45" s="460">
        <f t="shared" si="86"/>
        <v>85596.605632582156</v>
      </c>
      <c r="L45" s="465">
        <v>0</v>
      </c>
      <c r="M45" s="465">
        <v>14903.742434047979</v>
      </c>
      <c r="N45" s="465">
        <v>0</v>
      </c>
      <c r="O45" s="465">
        <v>1700.9166150363721</v>
      </c>
      <c r="P45" s="465">
        <v>0</v>
      </c>
      <c r="Q45" s="465">
        <v>3579.9735729091421</v>
      </c>
      <c r="R45" s="465">
        <v>0</v>
      </c>
      <c r="S45" s="465">
        <v>-43273.690410349111</v>
      </c>
      <c r="T45" s="462">
        <f t="shared" si="87"/>
        <v>-23089.057788355618</v>
      </c>
      <c r="U45" s="463">
        <f t="shared" si="88"/>
        <v>62507.547844226538</v>
      </c>
      <c r="V45" s="343">
        <v>23</v>
      </c>
      <c r="W45" s="257">
        <v>485.30079494123373</v>
      </c>
      <c r="X45" s="257">
        <v>0</v>
      </c>
      <c r="Y45" s="257">
        <v>99.62349289672872</v>
      </c>
      <c r="Z45" s="257">
        <v>258.76698558416729</v>
      </c>
      <c r="AA45" s="257">
        <v>557.63089911088809</v>
      </c>
      <c r="AB45" s="257">
        <v>0</v>
      </c>
      <c r="AC45" s="257">
        <v>1700.2943377662471</v>
      </c>
      <c r="AD45" s="257">
        <v>0</v>
      </c>
      <c r="AE45" s="460">
        <f t="shared" si="89"/>
        <v>3101.6165102992645</v>
      </c>
      <c r="AF45" s="465">
        <v>0</v>
      </c>
      <c r="AG45" s="257">
        <v>24982.436884150029</v>
      </c>
      <c r="AH45" s="257">
        <v>0</v>
      </c>
      <c r="AI45" s="257">
        <v>13836.294763563419</v>
      </c>
      <c r="AJ45" s="257">
        <v>0</v>
      </c>
      <c r="AK45" s="257">
        <v>39843.156336541986</v>
      </c>
      <c r="AL45" s="257">
        <v>0</v>
      </c>
      <c r="AM45" s="257">
        <v>31520.747823865997</v>
      </c>
      <c r="AN45" s="462">
        <f t="shared" si="90"/>
        <v>110182.63580812143</v>
      </c>
      <c r="AO45" s="463">
        <f t="shared" si="91"/>
        <v>113284.25231842069</v>
      </c>
      <c r="AP45" s="343">
        <v>23</v>
      </c>
      <c r="AQ45" s="257">
        <v>196294.5838541234</v>
      </c>
      <c r="AR45" s="257">
        <v>0</v>
      </c>
      <c r="AS45" s="257">
        <v>229001.64195482584</v>
      </c>
      <c r="AT45" s="257">
        <v>26102.702127259246</v>
      </c>
      <c r="AU45" s="257">
        <v>306854.4653454792</v>
      </c>
      <c r="AV45" s="257">
        <v>79.578158935511198</v>
      </c>
      <c r="AW45" s="257">
        <v>342625.15415433695</v>
      </c>
      <c r="AX45" s="257">
        <v>26.241953127251993</v>
      </c>
      <c r="AY45" s="460">
        <f t="shared" si="92"/>
        <v>1100984.3675480874</v>
      </c>
      <c r="AZ45" s="465">
        <v>0</v>
      </c>
      <c r="BA45" s="465">
        <v>563964.68847918173</v>
      </c>
      <c r="BB45" s="465">
        <v>0</v>
      </c>
      <c r="BC45" s="465">
        <v>471683.17154078995</v>
      </c>
      <c r="BD45" s="465">
        <v>0</v>
      </c>
      <c r="BE45" s="465">
        <v>553639.63245338027</v>
      </c>
      <c r="BF45" s="465">
        <v>0</v>
      </c>
      <c r="BG45" s="465">
        <v>575450.85674461606</v>
      </c>
      <c r="BH45" s="462">
        <f t="shared" si="93"/>
        <v>2164738.3492179681</v>
      </c>
      <c r="BI45" s="463">
        <f t="shared" si="94"/>
        <v>3265722.7167660557</v>
      </c>
      <c r="BJ45" s="343">
        <v>23</v>
      </c>
      <c r="BK45" s="257">
        <v>813.39537248557303</v>
      </c>
      <c r="BL45" s="257">
        <v>0</v>
      </c>
      <c r="BM45" s="257">
        <v>211.62360494579369</v>
      </c>
      <c r="BN45" s="257">
        <v>723.39543948651112</v>
      </c>
      <c r="BO45" s="257">
        <v>269.03175865512975</v>
      </c>
      <c r="BP45" s="257">
        <v>0</v>
      </c>
      <c r="BQ45" s="257">
        <v>296.71787394278124</v>
      </c>
      <c r="BR45" s="257">
        <v>0</v>
      </c>
      <c r="BS45" s="460">
        <f t="shared" si="95"/>
        <v>2314.164049515789</v>
      </c>
      <c r="BT45" s="465">
        <v>0</v>
      </c>
      <c r="BU45" s="257">
        <v>49576.097715017735</v>
      </c>
      <c r="BV45" s="257">
        <v>0</v>
      </c>
      <c r="BW45" s="257">
        <v>71103.474894774103</v>
      </c>
      <c r="BX45" s="257">
        <v>0</v>
      </c>
      <c r="BY45" s="257">
        <v>45458.337734544533</v>
      </c>
      <c r="BZ45" s="257">
        <v>0</v>
      </c>
      <c r="CA45" s="257">
        <v>49303.567864116223</v>
      </c>
      <c r="CB45" s="462">
        <f t="shared" si="96"/>
        <v>215441.47820845258</v>
      </c>
      <c r="CC45" s="463">
        <f t="shared" si="97"/>
        <v>217755.64225796837</v>
      </c>
      <c r="CD45" s="343">
        <v>23</v>
      </c>
      <c r="CE45" s="462">
        <f t="shared" si="98"/>
        <v>206750.05770009878</v>
      </c>
      <c r="CF45" s="462">
        <f t="shared" si="99"/>
        <v>280362.44462318998</v>
      </c>
      <c r="CG45" s="462">
        <f t="shared" si="100"/>
        <v>339434.81772745471</v>
      </c>
      <c r="CH45" s="462">
        <f t="shared" si="101"/>
        <v>365449.43368974118</v>
      </c>
      <c r="CI45" s="464">
        <f t="shared" si="102"/>
        <v>1191996.7537404846</v>
      </c>
      <c r="CJ45" s="462">
        <f t="shared" si="103"/>
        <v>653426.96551239747</v>
      </c>
      <c r="CK45" s="462">
        <f t="shared" si="104"/>
        <v>558323.8578141639</v>
      </c>
      <c r="CL45" s="462">
        <f t="shared" si="105"/>
        <v>642521.10009737592</v>
      </c>
      <c r="CM45" s="462">
        <f t="shared" si="106"/>
        <v>613001.48202224914</v>
      </c>
      <c r="CN45" s="464">
        <f t="shared" si="107"/>
        <v>2467273.4054461862</v>
      </c>
      <c r="CO45" s="462">
        <f t="shared" si="108"/>
        <v>860177.02321249631</v>
      </c>
      <c r="CP45" s="462">
        <f t="shared" si="109"/>
        <v>838686.30243735388</v>
      </c>
      <c r="CQ45" s="462">
        <f t="shared" si="110"/>
        <v>981955.91782483051</v>
      </c>
      <c r="CR45" s="462">
        <f t="shared" si="111"/>
        <v>978450.91571199032</v>
      </c>
      <c r="CS45" s="464">
        <f t="shared" si="112"/>
        <v>3659270.1591866715</v>
      </c>
      <c r="CU45" s="362"/>
    </row>
    <row r="46" spans="1:102" ht="15.75" customHeight="1" x14ac:dyDescent="0.25">
      <c r="A46" s="94" t="s">
        <v>1350</v>
      </c>
      <c r="B46" s="343">
        <v>24</v>
      </c>
      <c r="C46" s="257">
        <v>654.5</v>
      </c>
      <c r="D46" s="257">
        <v>0</v>
      </c>
      <c r="E46" s="257">
        <v>516.4</v>
      </c>
      <c r="F46" s="257">
        <v>0</v>
      </c>
      <c r="G46" s="257">
        <v>1458.46</v>
      </c>
      <c r="H46" s="257">
        <v>0</v>
      </c>
      <c r="I46" s="257">
        <v>1378.33</v>
      </c>
      <c r="J46" s="257">
        <v>0</v>
      </c>
      <c r="K46" s="460">
        <f t="shared" si="86"/>
        <v>4007.69</v>
      </c>
      <c r="L46" s="465">
        <v>0</v>
      </c>
      <c r="M46" s="257">
        <v>7848.1100000000006</v>
      </c>
      <c r="N46" s="257">
        <v>0</v>
      </c>
      <c r="O46" s="257">
        <v>8472.5899999999965</v>
      </c>
      <c r="P46" s="257">
        <v>0</v>
      </c>
      <c r="Q46" s="257">
        <v>12178.529999999999</v>
      </c>
      <c r="R46" s="257">
        <v>0</v>
      </c>
      <c r="S46" s="257">
        <v>12820.869999999999</v>
      </c>
      <c r="T46" s="462">
        <f t="shared" si="87"/>
        <v>41320.099999999991</v>
      </c>
      <c r="U46" s="463">
        <f t="shared" si="88"/>
        <v>45327.789999999994</v>
      </c>
      <c r="V46" s="343">
        <v>24</v>
      </c>
      <c r="W46" s="257">
        <v>0</v>
      </c>
      <c r="X46" s="257">
        <v>0</v>
      </c>
      <c r="Y46" s="257">
        <v>0</v>
      </c>
      <c r="Z46" s="257">
        <v>0</v>
      </c>
      <c r="AA46" s="257">
        <v>0</v>
      </c>
      <c r="AB46" s="257">
        <v>0</v>
      </c>
      <c r="AC46" s="257">
        <v>0</v>
      </c>
      <c r="AD46" s="257">
        <v>0</v>
      </c>
      <c r="AE46" s="460">
        <f t="shared" si="89"/>
        <v>0</v>
      </c>
      <c r="AF46" s="465">
        <v>0</v>
      </c>
      <c r="AG46" s="257">
        <v>2325.41</v>
      </c>
      <c r="AH46" s="257">
        <v>0</v>
      </c>
      <c r="AI46" s="257">
        <v>2725.01</v>
      </c>
      <c r="AJ46" s="257">
        <v>0</v>
      </c>
      <c r="AK46" s="257">
        <v>5967.010000000002</v>
      </c>
      <c r="AL46" s="257">
        <v>0</v>
      </c>
      <c r="AM46" s="257">
        <v>6017.6800000000012</v>
      </c>
      <c r="AN46" s="462">
        <f t="shared" si="90"/>
        <v>17035.110000000004</v>
      </c>
      <c r="AO46" s="463">
        <f t="shared" si="91"/>
        <v>17035.110000000004</v>
      </c>
      <c r="AP46" s="343">
        <v>24</v>
      </c>
      <c r="AQ46" s="257">
        <v>4258.1100000000006</v>
      </c>
      <c r="AR46" s="257">
        <v>0</v>
      </c>
      <c r="AS46" s="257">
        <v>5140.4299999999994</v>
      </c>
      <c r="AT46" s="257">
        <v>0</v>
      </c>
      <c r="AU46" s="257">
        <v>5773.8099999999986</v>
      </c>
      <c r="AV46" s="257">
        <v>0</v>
      </c>
      <c r="AW46" s="257">
        <v>8775.93</v>
      </c>
      <c r="AX46" s="257">
        <v>0</v>
      </c>
      <c r="AY46" s="460">
        <f t="shared" si="92"/>
        <v>23948.28</v>
      </c>
      <c r="AZ46" s="465">
        <v>0</v>
      </c>
      <c r="BA46" s="257">
        <v>145293.32999999984</v>
      </c>
      <c r="BB46" s="257">
        <v>0</v>
      </c>
      <c r="BC46" s="257">
        <v>142822.93999999989</v>
      </c>
      <c r="BD46" s="257">
        <v>0</v>
      </c>
      <c r="BE46" s="257">
        <v>156603.81000000026</v>
      </c>
      <c r="BF46" s="257">
        <v>0</v>
      </c>
      <c r="BG46" s="257">
        <v>183128.32999999993</v>
      </c>
      <c r="BH46" s="462">
        <f t="shared" si="93"/>
        <v>627848.40999999992</v>
      </c>
      <c r="BI46" s="463">
        <f t="shared" si="94"/>
        <v>651796.68999999994</v>
      </c>
      <c r="BJ46" s="343">
        <v>24</v>
      </c>
      <c r="BK46" s="257">
        <v>0</v>
      </c>
      <c r="BL46" s="257">
        <v>0</v>
      </c>
      <c r="BM46" s="257">
        <v>0</v>
      </c>
      <c r="BN46" s="257">
        <v>0</v>
      </c>
      <c r="BO46" s="257">
        <v>0</v>
      </c>
      <c r="BP46" s="257">
        <v>0</v>
      </c>
      <c r="BQ46" s="257">
        <v>0</v>
      </c>
      <c r="BR46" s="257">
        <v>0</v>
      </c>
      <c r="BS46" s="460">
        <f t="shared" si="95"/>
        <v>0</v>
      </c>
      <c r="BT46" s="465">
        <v>0</v>
      </c>
      <c r="BU46" s="257">
        <v>15.88</v>
      </c>
      <c r="BV46" s="257">
        <v>0</v>
      </c>
      <c r="BW46" s="257">
        <v>1201.6500000000001</v>
      </c>
      <c r="BX46" s="257">
        <v>0</v>
      </c>
      <c r="BY46" s="257">
        <v>3165.2700000000004</v>
      </c>
      <c r="BZ46" s="257">
        <v>0</v>
      </c>
      <c r="CA46" s="257">
        <v>4866.3200000000015</v>
      </c>
      <c r="CB46" s="462">
        <f t="shared" si="96"/>
        <v>9249.1200000000026</v>
      </c>
      <c r="CC46" s="463">
        <f t="shared" si="97"/>
        <v>9249.1200000000026</v>
      </c>
      <c r="CD46" s="343">
        <v>24</v>
      </c>
      <c r="CE46" s="462">
        <f t="shared" si="98"/>
        <v>4912.6100000000006</v>
      </c>
      <c r="CF46" s="462">
        <f t="shared" si="99"/>
        <v>5656.829999999999</v>
      </c>
      <c r="CG46" s="462">
        <f t="shared" si="100"/>
        <v>7232.2699999999986</v>
      </c>
      <c r="CH46" s="462">
        <f t="shared" si="101"/>
        <v>10154.26</v>
      </c>
      <c r="CI46" s="464">
        <f t="shared" si="102"/>
        <v>27955.969999999998</v>
      </c>
      <c r="CJ46" s="462">
        <f t="shared" si="103"/>
        <v>155482.72999999984</v>
      </c>
      <c r="CK46" s="462">
        <f t="shared" si="104"/>
        <v>155222.18999999989</v>
      </c>
      <c r="CL46" s="462">
        <f t="shared" si="105"/>
        <v>177914.62000000026</v>
      </c>
      <c r="CM46" s="462">
        <f t="shared" si="106"/>
        <v>206833.19999999992</v>
      </c>
      <c r="CN46" s="464">
        <f t="shared" si="107"/>
        <v>695452.73999999987</v>
      </c>
      <c r="CO46" s="462">
        <f t="shared" si="108"/>
        <v>160395.33999999985</v>
      </c>
      <c r="CP46" s="462">
        <f t="shared" si="109"/>
        <v>160879.01999999987</v>
      </c>
      <c r="CQ46" s="462">
        <f t="shared" si="110"/>
        <v>185146.89000000025</v>
      </c>
      <c r="CR46" s="462">
        <f t="shared" si="111"/>
        <v>216987.45999999993</v>
      </c>
      <c r="CS46" s="464">
        <f t="shared" si="112"/>
        <v>723408.71</v>
      </c>
    </row>
    <row r="47" spans="1:102" ht="15.75" customHeight="1" x14ac:dyDescent="0.25">
      <c r="A47" s="94" t="s">
        <v>1351</v>
      </c>
      <c r="B47" s="343">
        <v>25</v>
      </c>
      <c r="C47" s="257">
        <v>476.83506018290609</v>
      </c>
      <c r="D47" s="257">
        <v>0</v>
      </c>
      <c r="E47" s="257">
        <v>389.23788856677538</v>
      </c>
      <c r="F47" s="257">
        <v>0</v>
      </c>
      <c r="G47" s="257">
        <v>1151.6643930970372</v>
      </c>
      <c r="H47" s="257">
        <v>0</v>
      </c>
      <c r="I47" s="257">
        <v>1107.4933578627429</v>
      </c>
      <c r="J47" s="257">
        <v>0</v>
      </c>
      <c r="K47" s="460">
        <f t="shared" si="86"/>
        <v>3125.2306997094615</v>
      </c>
      <c r="L47" s="465">
        <v>0</v>
      </c>
      <c r="M47" s="257">
        <v>5218.3810930216805</v>
      </c>
      <c r="N47" s="257">
        <v>0</v>
      </c>
      <c r="O47" s="257">
        <v>5638.6479138167451</v>
      </c>
      <c r="P47" s="257">
        <v>0</v>
      </c>
      <c r="Q47" s="257">
        <v>9577.344133668621</v>
      </c>
      <c r="R47" s="257">
        <v>0</v>
      </c>
      <c r="S47" s="257">
        <v>10318.524381507525</v>
      </c>
      <c r="T47" s="462">
        <f t="shared" si="87"/>
        <v>30752.897522014573</v>
      </c>
      <c r="U47" s="463">
        <f t="shared" si="88"/>
        <v>33878.128221724037</v>
      </c>
      <c r="V47" s="343">
        <v>25</v>
      </c>
      <c r="W47" s="257">
        <v>0</v>
      </c>
      <c r="X47" s="257">
        <v>0</v>
      </c>
      <c r="Y47" s="257">
        <v>0</v>
      </c>
      <c r="Z47" s="257">
        <v>0</v>
      </c>
      <c r="AA47" s="257">
        <v>0</v>
      </c>
      <c r="AB47" s="257">
        <v>0</v>
      </c>
      <c r="AC47" s="257">
        <v>0</v>
      </c>
      <c r="AD47" s="257">
        <v>0</v>
      </c>
      <c r="AE47" s="460">
        <f t="shared" si="89"/>
        <v>0</v>
      </c>
      <c r="AF47" s="465">
        <v>0</v>
      </c>
      <c r="AG47" s="257">
        <v>1546.2162963469605</v>
      </c>
      <c r="AH47" s="257">
        <v>0</v>
      </c>
      <c r="AI47" s="257">
        <v>1813.5389475508405</v>
      </c>
      <c r="AJ47" s="257">
        <v>0</v>
      </c>
      <c r="AK47" s="257">
        <v>4692.5292477041176</v>
      </c>
      <c r="AL47" s="257">
        <v>0</v>
      </c>
      <c r="AM47" s="257">
        <v>4843.164137855716</v>
      </c>
      <c r="AN47" s="462">
        <f t="shared" si="90"/>
        <v>12895.448629457635</v>
      </c>
      <c r="AO47" s="463">
        <f t="shared" si="91"/>
        <v>12895.448629457635</v>
      </c>
      <c r="AP47" s="343">
        <v>25</v>
      </c>
      <c r="AQ47" s="257">
        <v>3102.2400887936356</v>
      </c>
      <c r="AR47" s="257">
        <v>0</v>
      </c>
      <c r="AS47" s="257">
        <v>3874.6129347895221</v>
      </c>
      <c r="AT47" s="257">
        <v>0</v>
      </c>
      <c r="AU47" s="257">
        <v>4559.2552346362618</v>
      </c>
      <c r="AV47" s="257">
        <v>0</v>
      </c>
      <c r="AW47" s="257">
        <v>7051.4928820154701</v>
      </c>
      <c r="AX47" s="257">
        <v>0</v>
      </c>
      <c r="AY47" s="460">
        <f t="shared" si="92"/>
        <v>18587.601140234889</v>
      </c>
      <c r="AZ47" s="465">
        <v>0</v>
      </c>
      <c r="BA47" s="257">
        <v>96608.733340149265</v>
      </c>
      <c r="BB47" s="257">
        <v>0</v>
      </c>
      <c r="BC47" s="257">
        <v>95051.014232504327</v>
      </c>
      <c r="BD47" s="257">
        <v>0</v>
      </c>
      <c r="BE47" s="257">
        <v>123155.14113884501</v>
      </c>
      <c r="BF47" s="257">
        <v>0</v>
      </c>
      <c r="BG47" s="257">
        <v>147385.79659958763</v>
      </c>
      <c r="BH47" s="462">
        <f t="shared" si="93"/>
        <v>462200.68531108624</v>
      </c>
      <c r="BI47" s="463">
        <f t="shared" si="94"/>
        <v>480788.28645132115</v>
      </c>
      <c r="BJ47" s="343">
        <v>25</v>
      </c>
      <c r="BK47" s="257">
        <v>0</v>
      </c>
      <c r="BL47" s="257">
        <v>0</v>
      </c>
      <c r="BM47" s="257">
        <v>0</v>
      </c>
      <c r="BN47" s="257">
        <v>0</v>
      </c>
      <c r="BO47" s="257">
        <v>0</v>
      </c>
      <c r="BP47" s="257">
        <v>0</v>
      </c>
      <c r="BQ47" s="257">
        <v>0</v>
      </c>
      <c r="BR47" s="257">
        <v>0</v>
      </c>
      <c r="BS47" s="460">
        <f t="shared" si="95"/>
        <v>0</v>
      </c>
      <c r="BT47" s="465">
        <v>0</v>
      </c>
      <c r="BU47" s="257">
        <v>10.558961553442074</v>
      </c>
      <c r="BV47" s="257">
        <v>0</v>
      </c>
      <c r="BW47" s="257">
        <v>799.71782720961289</v>
      </c>
      <c r="BX47" s="257">
        <v>0</v>
      </c>
      <c r="BY47" s="257">
        <v>2489.2068308718117</v>
      </c>
      <c r="BZ47" s="257">
        <v>0</v>
      </c>
      <c r="CA47" s="257">
        <v>3916.5237279699204</v>
      </c>
      <c r="CB47" s="462">
        <f t="shared" si="96"/>
        <v>7216.0073476047874</v>
      </c>
      <c r="CC47" s="463">
        <f t="shared" si="97"/>
        <v>7216.0073476047874</v>
      </c>
      <c r="CD47" s="343">
        <v>25</v>
      </c>
      <c r="CE47" s="462">
        <f t="shared" si="98"/>
        <v>3579.0751489765416</v>
      </c>
      <c r="CF47" s="462">
        <f t="shared" si="99"/>
        <v>4263.850823356297</v>
      </c>
      <c r="CG47" s="462">
        <f t="shared" si="100"/>
        <v>5710.9196277332994</v>
      </c>
      <c r="CH47" s="462">
        <f t="shared" si="101"/>
        <v>8158.9862398782134</v>
      </c>
      <c r="CI47" s="464">
        <f t="shared" si="102"/>
        <v>21712.831839944349</v>
      </c>
      <c r="CJ47" s="462">
        <f t="shared" si="103"/>
        <v>103383.88969107135</v>
      </c>
      <c r="CK47" s="462">
        <f t="shared" si="104"/>
        <v>103302.91892108152</v>
      </c>
      <c r="CL47" s="462">
        <f t="shared" si="105"/>
        <v>139914.22135108957</v>
      </c>
      <c r="CM47" s="462">
        <f t="shared" si="106"/>
        <v>166464.00884692077</v>
      </c>
      <c r="CN47" s="464">
        <f t="shared" si="107"/>
        <v>513065.03881016321</v>
      </c>
      <c r="CO47" s="462">
        <f t="shared" si="108"/>
        <v>106962.96484004789</v>
      </c>
      <c r="CP47" s="462">
        <f t="shared" si="109"/>
        <v>107566.76974443781</v>
      </c>
      <c r="CQ47" s="462">
        <f t="shared" si="110"/>
        <v>145625.14097882286</v>
      </c>
      <c r="CR47" s="462">
        <f t="shared" si="111"/>
        <v>174622.995086799</v>
      </c>
      <c r="CS47" s="464">
        <f t="shared" si="112"/>
        <v>534777.87065010762</v>
      </c>
    </row>
    <row r="48" spans="1:102" ht="15.75" customHeight="1" x14ac:dyDescent="0.25">
      <c r="A48" s="94" t="s">
        <v>228</v>
      </c>
      <c r="B48" s="343">
        <v>26</v>
      </c>
      <c r="C48" s="257">
        <v>3502.1499999999969</v>
      </c>
      <c r="D48" s="257">
        <v>1110.7499999999989</v>
      </c>
      <c r="E48" s="257">
        <v>6949.2747069678662</v>
      </c>
      <c r="F48" s="257">
        <v>3633.9889715099571</v>
      </c>
      <c r="G48" s="257">
        <v>4827.6314923773125</v>
      </c>
      <c r="H48" s="257">
        <v>4461.2134740347628</v>
      </c>
      <c r="I48" s="257">
        <v>6682.2670313445215</v>
      </c>
      <c r="J48" s="257">
        <v>2325.7509086346931</v>
      </c>
      <c r="K48" s="460">
        <f t="shared" si="86"/>
        <v>33493.026584869105</v>
      </c>
      <c r="L48" s="465">
        <v>0</v>
      </c>
      <c r="M48" s="257">
        <v>14607.289999999997</v>
      </c>
      <c r="N48" s="257">
        <v>0</v>
      </c>
      <c r="O48" s="257">
        <v>34099.816051712856</v>
      </c>
      <c r="P48" s="257">
        <v>0</v>
      </c>
      <c r="Q48" s="257">
        <v>39085.138958807511</v>
      </c>
      <c r="R48" s="257">
        <v>0</v>
      </c>
      <c r="S48" s="257">
        <v>30855.229864734225</v>
      </c>
      <c r="T48" s="462">
        <f t="shared" si="87"/>
        <v>118647.47487525459</v>
      </c>
      <c r="U48" s="463">
        <f t="shared" si="88"/>
        <v>152140.50146012369</v>
      </c>
      <c r="V48" s="343">
        <v>26</v>
      </c>
      <c r="W48" s="257">
        <v>352.3799999999996</v>
      </c>
      <c r="X48" s="257">
        <v>3054.2399999999966</v>
      </c>
      <c r="Y48" s="257">
        <v>135.42412274079032</v>
      </c>
      <c r="Z48" s="257">
        <v>1996.6782241215981</v>
      </c>
      <c r="AA48" s="257">
        <v>92.976369160214091</v>
      </c>
      <c r="AB48" s="257">
        <v>166.27599460477705</v>
      </c>
      <c r="AC48" s="257">
        <v>187.33336040879658</v>
      </c>
      <c r="AD48" s="257">
        <v>89.916393416480688</v>
      </c>
      <c r="AE48" s="460">
        <f t="shared" si="89"/>
        <v>6075.2244644526527</v>
      </c>
      <c r="AF48" s="465">
        <v>0</v>
      </c>
      <c r="AG48" s="257">
        <v>16903.879999999997</v>
      </c>
      <c r="AH48" s="257">
        <v>0</v>
      </c>
      <c r="AI48" s="257">
        <v>12869.611833732351</v>
      </c>
      <c r="AJ48" s="257">
        <v>0</v>
      </c>
      <c r="AK48" s="257">
        <v>4155.6107147961993</v>
      </c>
      <c r="AL48" s="257">
        <v>0</v>
      </c>
      <c r="AM48" s="257">
        <v>5909.4546979666511</v>
      </c>
      <c r="AN48" s="462">
        <f t="shared" si="90"/>
        <v>39838.557246495198</v>
      </c>
      <c r="AO48" s="463">
        <f t="shared" si="91"/>
        <v>45913.781710947849</v>
      </c>
      <c r="AP48" s="343">
        <v>26</v>
      </c>
      <c r="AQ48" s="257">
        <v>34178.119999999959</v>
      </c>
      <c r="AR48" s="257">
        <v>11492.129999999992</v>
      </c>
      <c r="AS48" s="257">
        <v>23854.937718547844</v>
      </c>
      <c r="AT48" s="257">
        <v>13508.988788501922</v>
      </c>
      <c r="AU48" s="257">
        <v>8241.4614113574971</v>
      </c>
      <c r="AV48" s="257">
        <v>6512.952101830354</v>
      </c>
      <c r="AW48" s="257">
        <v>8087.166690528783</v>
      </c>
      <c r="AX48" s="257">
        <v>5290.7296540400002</v>
      </c>
      <c r="AY48" s="460">
        <f t="shared" si="92"/>
        <v>111166.48636480635</v>
      </c>
      <c r="AZ48" s="465">
        <v>0</v>
      </c>
      <c r="BA48" s="257">
        <v>119314.15999999992</v>
      </c>
      <c r="BB48" s="257">
        <v>0</v>
      </c>
      <c r="BC48" s="257">
        <v>109887.85482393151</v>
      </c>
      <c r="BD48" s="257">
        <v>0</v>
      </c>
      <c r="BE48" s="257">
        <v>103135.66886660027</v>
      </c>
      <c r="BF48" s="257">
        <v>0</v>
      </c>
      <c r="BG48" s="257">
        <v>96478.383742321123</v>
      </c>
      <c r="BH48" s="462">
        <f t="shared" si="93"/>
        <v>428816.06743285281</v>
      </c>
      <c r="BI48" s="463">
        <f t="shared" si="94"/>
        <v>539982.55379765911</v>
      </c>
      <c r="BJ48" s="343">
        <v>26</v>
      </c>
      <c r="BK48" s="257">
        <v>0</v>
      </c>
      <c r="BL48" s="257">
        <v>1292.7599999999986</v>
      </c>
      <c r="BM48" s="257">
        <v>0</v>
      </c>
      <c r="BN48" s="257">
        <v>617.07435176349645</v>
      </c>
      <c r="BO48" s="257">
        <v>0</v>
      </c>
      <c r="BP48" s="257">
        <v>574.4307395665785</v>
      </c>
      <c r="BQ48" s="257">
        <v>0</v>
      </c>
      <c r="BR48" s="257">
        <v>794.01514266871402</v>
      </c>
      <c r="BS48" s="460">
        <f t="shared" si="95"/>
        <v>3278.2802339987875</v>
      </c>
      <c r="BT48" s="465">
        <v>0</v>
      </c>
      <c r="BU48" s="257">
        <v>5869.63</v>
      </c>
      <c r="BV48" s="257">
        <v>0</v>
      </c>
      <c r="BW48" s="257">
        <v>4630.8629349076282</v>
      </c>
      <c r="BX48" s="257">
        <v>0</v>
      </c>
      <c r="BY48" s="257">
        <v>4592.3312518809153</v>
      </c>
      <c r="BZ48" s="257">
        <v>0</v>
      </c>
      <c r="CA48" s="257">
        <v>8080.7687854942733</v>
      </c>
      <c r="CB48" s="462">
        <f t="shared" si="96"/>
        <v>23173.592972282819</v>
      </c>
      <c r="CC48" s="463">
        <f t="shared" si="97"/>
        <v>26451.873206281605</v>
      </c>
      <c r="CD48" s="343">
        <v>26</v>
      </c>
      <c r="CE48" s="462">
        <f t="shared" si="98"/>
        <v>54982.529999999941</v>
      </c>
      <c r="CF48" s="462">
        <f t="shared" si="99"/>
        <v>50696.366884153475</v>
      </c>
      <c r="CG48" s="462">
        <f t="shared" si="100"/>
        <v>24876.941582931497</v>
      </c>
      <c r="CH48" s="462">
        <f t="shared" si="101"/>
        <v>23457.179181041989</v>
      </c>
      <c r="CI48" s="464">
        <f t="shared" si="102"/>
        <v>154013.01764812687</v>
      </c>
      <c r="CJ48" s="462">
        <f t="shared" si="103"/>
        <v>156694.9599999999</v>
      </c>
      <c r="CK48" s="462">
        <f t="shared" si="104"/>
        <v>161488.14564428435</v>
      </c>
      <c r="CL48" s="462">
        <f t="shared" si="105"/>
        <v>150968.74979208491</v>
      </c>
      <c r="CM48" s="462">
        <f t="shared" si="106"/>
        <v>141323.83709051626</v>
      </c>
      <c r="CN48" s="464">
        <f t="shared" si="107"/>
        <v>610475.69252688531</v>
      </c>
      <c r="CO48" s="462">
        <f t="shared" si="108"/>
        <v>211677.48999999987</v>
      </c>
      <c r="CP48" s="462">
        <f t="shared" si="109"/>
        <v>212184.51252843783</v>
      </c>
      <c r="CQ48" s="462">
        <f t="shared" si="110"/>
        <v>175845.69137501635</v>
      </c>
      <c r="CR48" s="462">
        <f t="shared" si="111"/>
        <v>164781.01627155824</v>
      </c>
      <c r="CS48" s="464">
        <f t="shared" si="112"/>
        <v>764488.71017501224</v>
      </c>
    </row>
    <row r="49" spans="1:97" ht="15.75" customHeight="1" x14ac:dyDescent="0.25">
      <c r="A49" s="94" t="s">
        <v>229</v>
      </c>
      <c r="B49" s="343">
        <v>27</v>
      </c>
      <c r="C49" s="257">
        <v>0</v>
      </c>
      <c r="D49" s="257">
        <v>62550.169999999933</v>
      </c>
      <c r="E49" s="257">
        <v>32104.97807620883</v>
      </c>
      <c r="F49" s="257">
        <v>337138.41856997681</v>
      </c>
      <c r="G49" s="257">
        <v>16562.290695839805</v>
      </c>
      <c r="H49" s="257">
        <v>338340.61684322776</v>
      </c>
      <c r="I49" s="257">
        <v>4171.5656522976442</v>
      </c>
      <c r="J49" s="257">
        <v>256791.62771115336</v>
      </c>
      <c r="K49" s="460">
        <f t="shared" si="86"/>
        <v>1047659.6675487042</v>
      </c>
      <c r="L49" s="465">
        <v>0</v>
      </c>
      <c r="M49" s="257">
        <v>5401</v>
      </c>
      <c r="N49" s="257">
        <v>0</v>
      </c>
      <c r="O49" s="257">
        <v>223269.03651967103</v>
      </c>
      <c r="P49" s="257">
        <v>0</v>
      </c>
      <c r="Q49" s="257">
        <v>110326.57708764428</v>
      </c>
      <c r="R49" s="257">
        <v>0</v>
      </c>
      <c r="S49" s="257">
        <v>182656.37401790192</v>
      </c>
      <c r="T49" s="462">
        <f t="shared" si="87"/>
        <v>521652.9876252173</v>
      </c>
      <c r="U49" s="463">
        <f t="shared" si="88"/>
        <v>1569312.6551739215</v>
      </c>
      <c r="V49" s="343">
        <v>27</v>
      </c>
      <c r="W49" s="257">
        <v>0</v>
      </c>
      <c r="X49" s="257">
        <v>193.0999999999998</v>
      </c>
      <c r="Y49" s="257">
        <v>0</v>
      </c>
      <c r="Z49" s="257">
        <v>0</v>
      </c>
      <c r="AA49" s="257">
        <v>0</v>
      </c>
      <c r="AB49" s="257">
        <v>20.978513019994455</v>
      </c>
      <c r="AC49" s="257">
        <v>0</v>
      </c>
      <c r="AD49" s="257">
        <v>0</v>
      </c>
      <c r="AE49" s="460">
        <f t="shared" si="89"/>
        <v>214.07851301999426</v>
      </c>
      <c r="AF49" s="465">
        <v>0</v>
      </c>
      <c r="AG49" s="257">
        <v>14644.399999999998</v>
      </c>
      <c r="AH49" s="257">
        <v>0</v>
      </c>
      <c r="AI49" s="257">
        <v>0</v>
      </c>
      <c r="AJ49" s="257">
        <v>0</v>
      </c>
      <c r="AK49" s="257">
        <v>84.066120519694778</v>
      </c>
      <c r="AL49" s="257">
        <v>0</v>
      </c>
      <c r="AM49" s="257">
        <v>0</v>
      </c>
      <c r="AN49" s="462">
        <f t="shared" si="90"/>
        <v>14728.466120519694</v>
      </c>
      <c r="AO49" s="463">
        <f t="shared" si="91"/>
        <v>14942.544633539688</v>
      </c>
      <c r="AP49" s="343">
        <v>27</v>
      </c>
      <c r="AQ49" s="257">
        <v>14290.999999999985</v>
      </c>
      <c r="AR49" s="257">
        <v>236326.27999999982</v>
      </c>
      <c r="AS49" s="257">
        <v>16216.791172396348</v>
      </c>
      <c r="AT49" s="257">
        <v>35956.909775934371</v>
      </c>
      <c r="AU49" s="257">
        <v>5230.7093370521743</v>
      </c>
      <c r="AV49" s="257">
        <v>50397.548005200573</v>
      </c>
      <c r="AW49" s="257">
        <v>27344.316246360006</v>
      </c>
      <c r="AX49" s="257">
        <v>33203.993563852804</v>
      </c>
      <c r="AY49" s="460">
        <f t="shared" si="92"/>
        <v>418967.54810079606</v>
      </c>
      <c r="AZ49" s="465">
        <v>0</v>
      </c>
      <c r="BA49" s="257">
        <v>433663.54999999993</v>
      </c>
      <c r="BB49" s="257">
        <v>0</v>
      </c>
      <c r="BC49" s="257">
        <v>275962.8868802989</v>
      </c>
      <c r="BD49" s="257">
        <v>0</v>
      </c>
      <c r="BE49" s="257">
        <v>244751.80446395787</v>
      </c>
      <c r="BF49" s="257">
        <v>0</v>
      </c>
      <c r="BG49" s="257">
        <v>292053.29292065086</v>
      </c>
      <c r="BH49" s="462">
        <f t="shared" si="93"/>
        <v>1246431.5342649077</v>
      </c>
      <c r="BI49" s="463">
        <f t="shared" si="94"/>
        <v>1665399.0823657038</v>
      </c>
      <c r="BJ49" s="343">
        <v>27</v>
      </c>
      <c r="BK49" s="257">
        <v>26127.009999999973</v>
      </c>
      <c r="BL49" s="257">
        <v>1189520.7099999986</v>
      </c>
      <c r="BM49" s="257">
        <v>0</v>
      </c>
      <c r="BN49" s="257">
        <v>961793.90093370143</v>
      </c>
      <c r="BO49" s="257">
        <v>8625.0227300772422</v>
      </c>
      <c r="BP49" s="257">
        <v>1144702.4964371503</v>
      </c>
      <c r="BQ49" s="257">
        <v>36596.394404810824</v>
      </c>
      <c r="BR49" s="257">
        <v>1226464.8445370339</v>
      </c>
      <c r="BS49" s="460">
        <f t="shared" si="95"/>
        <v>4593830.3790427716</v>
      </c>
      <c r="BT49" s="465">
        <v>0</v>
      </c>
      <c r="BU49" s="257">
        <v>69841.160000000382</v>
      </c>
      <c r="BV49" s="257">
        <v>0</v>
      </c>
      <c r="BW49" s="257">
        <v>150770.08143748631</v>
      </c>
      <c r="BX49" s="257">
        <v>0</v>
      </c>
      <c r="BY49" s="257">
        <v>95510.547748387209</v>
      </c>
      <c r="BZ49" s="257">
        <v>0</v>
      </c>
      <c r="CA49" s="257">
        <v>104648.54225477365</v>
      </c>
      <c r="CB49" s="462">
        <f t="shared" si="96"/>
        <v>420770.3314406476</v>
      </c>
      <c r="CC49" s="463">
        <f t="shared" si="97"/>
        <v>5014600.7104834188</v>
      </c>
      <c r="CD49" s="343">
        <v>27</v>
      </c>
      <c r="CE49" s="462">
        <f t="shared" si="98"/>
        <v>1529008.2699999982</v>
      </c>
      <c r="CF49" s="462">
        <f t="shared" si="99"/>
        <v>1383210.9985282179</v>
      </c>
      <c r="CG49" s="462">
        <f t="shared" si="100"/>
        <v>1563879.662561568</v>
      </c>
      <c r="CH49" s="462">
        <f t="shared" si="101"/>
        <v>1584572.7421155085</v>
      </c>
      <c r="CI49" s="464">
        <f t="shared" si="102"/>
        <v>6060671.6732052919</v>
      </c>
      <c r="CJ49" s="462">
        <f t="shared" si="103"/>
        <v>523550.11000000034</v>
      </c>
      <c r="CK49" s="462">
        <f t="shared" si="104"/>
        <v>650002.00483745628</v>
      </c>
      <c r="CL49" s="462">
        <f t="shared" si="105"/>
        <v>450672.99542050908</v>
      </c>
      <c r="CM49" s="462">
        <f t="shared" si="106"/>
        <v>579358.20919332642</v>
      </c>
      <c r="CN49" s="464">
        <f t="shared" si="107"/>
        <v>2203583.319451292</v>
      </c>
      <c r="CO49" s="462">
        <f t="shared" si="108"/>
        <v>2052558.3799999987</v>
      </c>
      <c r="CP49" s="462">
        <f t="shared" si="109"/>
        <v>2033213.0033656741</v>
      </c>
      <c r="CQ49" s="462">
        <f t="shared" si="110"/>
        <v>2014552.657982077</v>
      </c>
      <c r="CR49" s="462">
        <f t="shared" si="111"/>
        <v>2163930.9513088348</v>
      </c>
      <c r="CS49" s="464">
        <f t="shared" si="112"/>
        <v>8264254.992656583</v>
      </c>
    </row>
    <row r="50" spans="1:97" ht="15.75" customHeight="1" x14ac:dyDescent="0.25">
      <c r="A50" s="94" t="s">
        <v>1457</v>
      </c>
      <c r="B50" s="343">
        <v>28</v>
      </c>
      <c r="C50" s="257">
        <v>10884.159999999989</v>
      </c>
      <c r="D50" s="257">
        <v>17330.999999999982</v>
      </c>
      <c r="E50" s="257">
        <v>64434.139531441178</v>
      </c>
      <c r="F50" s="257">
        <v>156735.66522068679</v>
      </c>
      <c r="G50" s="257">
        <v>43504.789688413002</v>
      </c>
      <c r="H50" s="257">
        <v>170243.17661420355</v>
      </c>
      <c r="I50" s="257">
        <v>41833.544224285644</v>
      </c>
      <c r="J50" s="257">
        <v>122169.06088033564</v>
      </c>
      <c r="K50" s="460">
        <f t="shared" si="86"/>
        <v>627135.53615936579</v>
      </c>
      <c r="L50" s="465">
        <v>0</v>
      </c>
      <c r="M50" s="257">
        <v>0</v>
      </c>
      <c r="N50" s="257">
        <v>0</v>
      </c>
      <c r="O50" s="257">
        <v>0</v>
      </c>
      <c r="P50" s="257">
        <v>0</v>
      </c>
      <c r="Q50" s="257">
        <v>0</v>
      </c>
      <c r="R50" s="257">
        <v>0</v>
      </c>
      <c r="S50" s="257">
        <v>0</v>
      </c>
      <c r="T50" s="462">
        <f t="shared" si="87"/>
        <v>0</v>
      </c>
      <c r="U50" s="463">
        <f t="shared" si="88"/>
        <v>627135.53615936579</v>
      </c>
      <c r="V50" s="343">
        <v>28</v>
      </c>
      <c r="W50" s="257">
        <v>0</v>
      </c>
      <c r="X50" s="257">
        <v>1580.4699999999984</v>
      </c>
      <c r="Y50" s="257">
        <v>0</v>
      </c>
      <c r="Z50" s="257">
        <v>0</v>
      </c>
      <c r="AA50" s="257">
        <v>0</v>
      </c>
      <c r="AB50" s="257">
        <v>0</v>
      </c>
      <c r="AC50" s="257">
        <v>0</v>
      </c>
      <c r="AD50" s="257">
        <v>0</v>
      </c>
      <c r="AE50" s="460">
        <f t="shared" si="89"/>
        <v>1580.4699999999984</v>
      </c>
      <c r="AF50" s="465">
        <v>0</v>
      </c>
      <c r="AG50" s="257">
        <v>0</v>
      </c>
      <c r="AH50" s="257">
        <v>0</v>
      </c>
      <c r="AI50" s="257">
        <v>0</v>
      </c>
      <c r="AJ50" s="257">
        <v>0</v>
      </c>
      <c r="AK50" s="257">
        <v>0</v>
      </c>
      <c r="AL50" s="257">
        <v>0</v>
      </c>
      <c r="AM50" s="257">
        <v>0</v>
      </c>
      <c r="AN50" s="462">
        <f t="shared" si="90"/>
        <v>0</v>
      </c>
      <c r="AO50" s="463">
        <f t="shared" si="91"/>
        <v>1580.4699999999984</v>
      </c>
      <c r="AP50" s="343">
        <v>28</v>
      </c>
      <c r="AQ50" s="257">
        <v>589520.62999999942</v>
      </c>
      <c r="AR50" s="257">
        <v>2459022.069999998</v>
      </c>
      <c r="AS50" s="257">
        <v>503692.19767529087</v>
      </c>
      <c r="AT50" s="257">
        <v>2312863.3175684712</v>
      </c>
      <c r="AU50" s="257">
        <v>477046.73975961836</v>
      </c>
      <c r="AV50" s="257">
        <v>2424035.9570242749</v>
      </c>
      <c r="AW50" s="257">
        <v>470024.55916680256</v>
      </c>
      <c r="AX50" s="257">
        <v>2461692.2090180675</v>
      </c>
      <c r="AY50" s="460">
        <f t="shared" si="92"/>
        <v>11697897.680212524</v>
      </c>
      <c r="AZ50" s="465">
        <v>0</v>
      </c>
      <c r="BA50" s="257">
        <v>0</v>
      </c>
      <c r="BB50" s="257">
        <v>0</v>
      </c>
      <c r="BC50" s="257">
        <v>0</v>
      </c>
      <c r="BD50" s="257">
        <v>0</v>
      </c>
      <c r="BE50" s="257">
        <v>0</v>
      </c>
      <c r="BF50" s="257">
        <v>0</v>
      </c>
      <c r="BG50" s="257">
        <v>0</v>
      </c>
      <c r="BH50" s="462">
        <f t="shared" si="93"/>
        <v>0</v>
      </c>
      <c r="BI50" s="463">
        <f t="shared" si="94"/>
        <v>11697897.680212524</v>
      </c>
      <c r="BJ50" s="343">
        <v>28</v>
      </c>
      <c r="BK50" s="257">
        <v>0</v>
      </c>
      <c r="BL50" s="257">
        <v>4856.6699999999955</v>
      </c>
      <c r="BM50" s="257">
        <v>0</v>
      </c>
      <c r="BN50" s="257">
        <v>58.996152429504633</v>
      </c>
      <c r="BO50" s="257">
        <v>0</v>
      </c>
      <c r="BP50" s="257">
        <v>190.42882200536258</v>
      </c>
      <c r="BQ50" s="257">
        <v>0</v>
      </c>
      <c r="BR50" s="257">
        <v>5665.6678433382185</v>
      </c>
      <c r="BS50" s="460">
        <f t="shared" si="95"/>
        <v>10771.76281777308</v>
      </c>
      <c r="BT50" s="465">
        <v>0</v>
      </c>
      <c r="BU50" s="257">
        <v>0</v>
      </c>
      <c r="BV50" s="257">
        <v>0</v>
      </c>
      <c r="BW50" s="257">
        <v>0</v>
      </c>
      <c r="BX50" s="257">
        <v>0</v>
      </c>
      <c r="BY50" s="257">
        <v>0</v>
      </c>
      <c r="BZ50" s="257">
        <v>0</v>
      </c>
      <c r="CA50" s="257">
        <v>0</v>
      </c>
      <c r="CB50" s="462">
        <f t="shared" si="96"/>
        <v>0</v>
      </c>
      <c r="CC50" s="463">
        <f t="shared" si="97"/>
        <v>10771.76281777308</v>
      </c>
      <c r="CD50" s="343">
        <v>28</v>
      </c>
      <c r="CE50" s="462">
        <f t="shared" si="98"/>
        <v>3083194.9999999972</v>
      </c>
      <c r="CF50" s="462">
        <f t="shared" si="99"/>
        <v>3037784.3161483193</v>
      </c>
      <c r="CG50" s="462">
        <f t="shared" si="100"/>
        <v>3115021.091908515</v>
      </c>
      <c r="CH50" s="462">
        <f t="shared" si="101"/>
        <v>3101385.0411328292</v>
      </c>
      <c r="CI50" s="464">
        <f t="shared" si="102"/>
        <v>12337385.449189663</v>
      </c>
      <c r="CJ50" s="462">
        <f t="shared" si="103"/>
        <v>0</v>
      </c>
      <c r="CK50" s="462">
        <f t="shared" si="104"/>
        <v>0</v>
      </c>
      <c r="CL50" s="462">
        <f t="shared" si="105"/>
        <v>0</v>
      </c>
      <c r="CM50" s="462">
        <f t="shared" si="106"/>
        <v>0</v>
      </c>
      <c r="CN50" s="464">
        <f t="shared" si="107"/>
        <v>0</v>
      </c>
      <c r="CO50" s="462">
        <f t="shared" si="108"/>
        <v>3083194.9999999972</v>
      </c>
      <c r="CP50" s="462">
        <f t="shared" si="109"/>
        <v>3037784.3161483193</v>
      </c>
      <c r="CQ50" s="462">
        <f t="shared" si="110"/>
        <v>3115021.091908515</v>
      </c>
      <c r="CR50" s="462">
        <f t="shared" si="111"/>
        <v>3101385.0411328292</v>
      </c>
      <c r="CS50" s="464">
        <f t="shared" si="112"/>
        <v>12337385.449189665</v>
      </c>
    </row>
    <row r="51" spans="1:97" ht="15.75" customHeight="1" x14ac:dyDescent="0.25">
      <c r="A51" s="94" t="s">
        <v>463</v>
      </c>
      <c r="B51" s="343">
        <v>29</v>
      </c>
      <c r="C51" s="257">
        <v>2066.1999999999975</v>
      </c>
      <c r="D51" s="257">
        <v>4704.7399999999943</v>
      </c>
      <c r="E51" s="257">
        <v>5106.2625079487152</v>
      </c>
      <c r="F51" s="257">
        <v>22205.595716476888</v>
      </c>
      <c r="G51" s="257">
        <v>12663.491629331525</v>
      </c>
      <c r="H51" s="257">
        <v>13003.854234367145</v>
      </c>
      <c r="I51" s="257">
        <v>5247.9582867590307</v>
      </c>
      <c r="J51" s="257">
        <v>18780.913405706538</v>
      </c>
      <c r="K51" s="460">
        <f t="shared" si="86"/>
        <v>83779.015780589834</v>
      </c>
      <c r="L51" s="465">
        <v>0</v>
      </c>
      <c r="M51" s="257">
        <v>14235.590000000004</v>
      </c>
      <c r="N51" s="257">
        <v>0</v>
      </c>
      <c r="O51" s="257">
        <v>26594.269356870122</v>
      </c>
      <c r="P51" s="257">
        <v>0</v>
      </c>
      <c r="Q51" s="257">
        <v>24363.978652824902</v>
      </c>
      <c r="R51" s="257">
        <v>0</v>
      </c>
      <c r="S51" s="257">
        <v>24797.878184244313</v>
      </c>
      <c r="T51" s="462">
        <f t="shared" si="87"/>
        <v>89991.716193939341</v>
      </c>
      <c r="U51" s="463">
        <f t="shared" si="88"/>
        <v>173770.73197452916</v>
      </c>
      <c r="V51" s="343">
        <v>29</v>
      </c>
      <c r="W51" s="257">
        <v>0</v>
      </c>
      <c r="X51" s="257">
        <v>145.38999999999984</v>
      </c>
      <c r="Y51" s="257">
        <v>0</v>
      </c>
      <c r="Z51" s="257">
        <v>269.2480786077511</v>
      </c>
      <c r="AA51" s="257">
        <v>0</v>
      </c>
      <c r="AB51" s="257">
        <v>57.768516282743683</v>
      </c>
      <c r="AC51" s="257">
        <v>0</v>
      </c>
      <c r="AD51" s="257">
        <v>487.88918601528849</v>
      </c>
      <c r="AE51" s="460">
        <f t="shared" si="89"/>
        <v>960.29578090578309</v>
      </c>
      <c r="AF51" s="465">
        <v>0</v>
      </c>
      <c r="AG51" s="257">
        <v>1331.7600000000002</v>
      </c>
      <c r="AH51" s="257">
        <v>0</v>
      </c>
      <c r="AI51" s="257">
        <v>2473.4317595273105</v>
      </c>
      <c r="AJ51" s="257">
        <v>0</v>
      </c>
      <c r="AK51" s="257">
        <v>2108.834893709718</v>
      </c>
      <c r="AL51" s="257">
        <v>0</v>
      </c>
      <c r="AM51" s="257">
        <v>3911.4636904078234</v>
      </c>
      <c r="AN51" s="462">
        <f t="shared" si="90"/>
        <v>9825.4903436448512</v>
      </c>
      <c r="AO51" s="463">
        <f t="shared" si="91"/>
        <v>10785.786124550634</v>
      </c>
      <c r="AP51" s="343">
        <v>29</v>
      </c>
      <c r="AQ51" s="257">
        <v>22573.669999999976</v>
      </c>
      <c r="AR51" s="257">
        <v>49929.149999999951</v>
      </c>
      <c r="AS51" s="257">
        <v>27721.330926395633</v>
      </c>
      <c r="AT51" s="257">
        <v>34528.22078472154</v>
      </c>
      <c r="AU51" s="257">
        <v>25357.004061543219</v>
      </c>
      <c r="AV51" s="257">
        <v>41581.315391535347</v>
      </c>
      <c r="AW51" s="257">
        <v>20527.903568033187</v>
      </c>
      <c r="AX51" s="257">
        <v>53261.85448487485</v>
      </c>
      <c r="AY51" s="460">
        <f t="shared" si="92"/>
        <v>275480.44921710371</v>
      </c>
      <c r="AZ51" s="465">
        <v>0</v>
      </c>
      <c r="BA51" s="257">
        <v>144410.62999999986</v>
      </c>
      <c r="BB51" s="257">
        <v>0</v>
      </c>
      <c r="BC51" s="257">
        <v>144097.0968719153</v>
      </c>
      <c r="BD51" s="257">
        <v>0</v>
      </c>
      <c r="BE51" s="257">
        <v>130716.54830833699</v>
      </c>
      <c r="BF51" s="257">
        <v>0</v>
      </c>
      <c r="BG51" s="257">
        <v>111180.36649703467</v>
      </c>
      <c r="BH51" s="462">
        <f t="shared" si="93"/>
        <v>530404.64167728683</v>
      </c>
      <c r="BI51" s="463">
        <f t="shared" si="94"/>
        <v>805885.0908943906</v>
      </c>
      <c r="BJ51" s="343">
        <v>29</v>
      </c>
      <c r="BK51" s="257">
        <v>0</v>
      </c>
      <c r="BL51" s="257">
        <v>1579.3499999999981</v>
      </c>
      <c r="BM51" s="257">
        <v>0</v>
      </c>
      <c r="BN51" s="257">
        <v>876.58141452681002</v>
      </c>
      <c r="BO51" s="257">
        <v>0</v>
      </c>
      <c r="BP51" s="257">
        <v>3127.4006175845198</v>
      </c>
      <c r="BQ51" s="257">
        <v>0</v>
      </c>
      <c r="BR51" s="257">
        <v>25.125916040230933</v>
      </c>
      <c r="BS51" s="460">
        <f t="shared" si="95"/>
        <v>5608.4579481515584</v>
      </c>
      <c r="BT51" s="465">
        <v>0</v>
      </c>
      <c r="BU51" s="257">
        <v>13562.029999999999</v>
      </c>
      <c r="BV51" s="257">
        <v>0</v>
      </c>
      <c r="BW51" s="257">
        <v>11489.679578271409</v>
      </c>
      <c r="BX51" s="257">
        <v>0</v>
      </c>
      <c r="BY51" s="257">
        <v>5201.1461010711537</v>
      </c>
      <c r="BZ51" s="257">
        <v>0</v>
      </c>
      <c r="CA51" s="257">
        <v>23205.292735162406</v>
      </c>
      <c r="CB51" s="462">
        <f t="shared" si="96"/>
        <v>53458.148414504969</v>
      </c>
      <c r="CC51" s="463">
        <f t="shared" si="97"/>
        <v>59066.60636265653</v>
      </c>
      <c r="CD51" s="343">
        <v>29</v>
      </c>
      <c r="CE51" s="462">
        <f t="shared" si="98"/>
        <v>80998.499999999913</v>
      </c>
      <c r="CF51" s="462">
        <f t="shared" si="99"/>
        <v>90707.239428677334</v>
      </c>
      <c r="CG51" s="462">
        <f t="shared" si="100"/>
        <v>95790.834450644485</v>
      </c>
      <c r="CH51" s="462">
        <f t="shared" si="101"/>
        <v>98331.64484742911</v>
      </c>
      <c r="CI51" s="464">
        <f t="shared" si="102"/>
        <v>365828.21872675087</v>
      </c>
      <c r="CJ51" s="462">
        <f t="shared" si="103"/>
        <v>173540.00999999986</v>
      </c>
      <c r="CK51" s="462">
        <f t="shared" si="104"/>
        <v>184654.47756658413</v>
      </c>
      <c r="CL51" s="462">
        <f t="shared" si="105"/>
        <v>162390.50795594277</v>
      </c>
      <c r="CM51" s="462">
        <f t="shared" si="106"/>
        <v>163095.0011068492</v>
      </c>
      <c r="CN51" s="464">
        <f t="shared" si="107"/>
        <v>683679.99662937596</v>
      </c>
      <c r="CO51" s="462">
        <f t="shared" si="108"/>
        <v>254538.50999999978</v>
      </c>
      <c r="CP51" s="462">
        <f t="shared" si="109"/>
        <v>275361.71699526143</v>
      </c>
      <c r="CQ51" s="462">
        <f t="shared" si="110"/>
        <v>258181.34240658727</v>
      </c>
      <c r="CR51" s="462">
        <f t="shared" si="111"/>
        <v>261426.64595427833</v>
      </c>
      <c r="CS51" s="464">
        <f t="shared" si="112"/>
        <v>1049508.2153561269</v>
      </c>
    </row>
    <row r="52" spans="1:97" ht="15.75" customHeight="1" x14ac:dyDescent="0.25">
      <c r="A52" s="94" t="s">
        <v>1458</v>
      </c>
      <c r="B52" s="343">
        <v>30</v>
      </c>
      <c r="C52" s="257">
        <v>8204.8599999999915</v>
      </c>
      <c r="D52" s="257">
        <v>28207.479999999967</v>
      </c>
      <c r="E52" s="257">
        <v>151657.70566431896</v>
      </c>
      <c r="F52" s="257">
        <v>178786.78482758137</v>
      </c>
      <c r="G52" s="257">
        <v>176507.92136413572</v>
      </c>
      <c r="H52" s="257">
        <v>159858.66246515576</v>
      </c>
      <c r="I52" s="257">
        <v>119279.33923039297</v>
      </c>
      <c r="J52" s="257">
        <v>120908.55228968029</v>
      </c>
      <c r="K52" s="460">
        <f t="shared" si="86"/>
        <v>943411.30584126501</v>
      </c>
      <c r="L52" s="465">
        <v>0</v>
      </c>
      <c r="M52" s="257">
        <v>0</v>
      </c>
      <c r="N52" s="257">
        <v>0</v>
      </c>
      <c r="O52" s="257">
        <v>0</v>
      </c>
      <c r="P52" s="257">
        <v>0</v>
      </c>
      <c r="Q52" s="257">
        <v>0</v>
      </c>
      <c r="R52" s="257">
        <v>0</v>
      </c>
      <c r="S52" s="257">
        <v>0</v>
      </c>
      <c r="T52" s="462">
        <f t="shared" si="87"/>
        <v>0</v>
      </c>
      <c r="U52" s="463">
        <f t="shared" si="88"/>
        <v>943411.30584126501</v>
      </c>
      <c r="V52" s="343">
        <v>30</v>
      </c>
      <c r="W52" s="257">
        <v>0</v>
      </c>
      <c r="X52" s="257">
        <v>0</v>
      </c>
      <c r="Y52" s="257">
        <v>0</v>
      </c>
      <c r="Z52" s="257">
        <v>4948.1860229002741</v>
      </c>
      <c r="AA52" s="257">
        <v>0</v>
      </c>
      <c r="AB52" s="257">
        <v>1687.7639303011961</v>
      </c>
      <c r="AC52" s="257">
        <v>0</v>
      </c>
      <c r="AD52" s="257">
        <v>0</v>
      </c>
      <c r="AE52" s="460">
        <f t="shared" si="89"/>
        <v>6635.9499532014706</v>
      </c>
      <c r="AF52" s="465">
        <v>0</v>
      </c>
      <c r="AG52" s="257">
        <v>0</v>
      </c>
      <c r="AH52" s="257">
        <v>0</v>
      </c>
      <c r="AI52" s="257">
        <v>0</v>
      </c>
      <c r="AJ52" s="257">
        <v>0</v>
      </c>
      <c r="AK52" s="257">
        <v>0</v>
      </c>
      <c r="AL52" s="257">
        <v>0</v>
      </c>
      <c r="AM52" s="257">
        <v>0</v>
      </c>
      <c r="AN52" s="462">
        <f t="shared" si="90"/>
        <v>0</v>
      </c>
      <c r="AO52" s="463">
        <f t="shared" si="91"/>
        <v>6635.9499532014706</v>
      </c>
      <c r="AP52" s="343">
        <v>30</v>
      </c>
      <c r="AQ52" s="257">
        <v>747868.26999999909</v>
      </c>
      <c r="AR52" s="257">
        <v>1586320.7899999986</v>
      </c>
      <c r="AS52" s="257">
        <v>674226.51189177169</v>
      </c>
      <c r="AT52" s="257">
        <v>1567290.2852857758</v>
      </c>
      <c r="AU52" s="257">
        <v>684620.65457837528</v>
      </c>
      <c r="AV52" s="257">
        <v>1756591.4674912284</v>
      </c>
      <c r="AW52" s="257">
        <v>876641.5918871616</v>
      </c>
      <c r="AX52" s="257">
        <v>1914713.0921424325</v>
      </c>
      <c r="AY52" s="460">
        <f t="shared" si="92"/>
        <v>9808272.6632767431</v>
      </c>
      <c r="AZ52" s="465">
        <v>0</v>
      </c>
      <c r="BA52" s="257">
        <v>0</v>
      </c>
      <c r="BB52" s="257">
        <v>0</v>
      </c>
      <c r="BC52" s="257">
        <v>639.55572454730407</v>
      </c>
      <c r="BD52" s="257">
        <v>0</v>
      </c>
      <c r="BE52" s="257">
        <v>0</v>
      </c>
      <c r="BF52" s="257">
        <v>0</v>
      </c>
      <c r="BG52" s="257">
        <v>0</v>
      </c>
      <c r="BH52" s="462">
        <f t="shared" si="93"/>
        <v>639.55572454730407</v>
      </c>
      <c r="BI52" s="463">
        <f t="shared" si="94"/>
        <v>9808912.2190012913</v>
      </c>
      <c r="BJ52" s="343">
        <v>30</v>
      </c>
      <c r="BK52" s="257">
        <v>0</v>
      </c>
      <c r="BL52" s="257">
        <v>0</v>
      </c>
      <c r="BM52" s="257">
        <v>0</v>
      </c>
      <c r="BN52" s="257">
        <v>0</v>
      </c>
      <c r="BO52" s="257">
        <v>0</v>
      </c>
      <c r="BP52" s="257">
        <v>0</v>
      </c>
      <c r="BQ52" s="257">
        <v>2662.391933388199</v>
      </c>
      <c r="BR52" s="257">
        <v>0</v>
      </c>
      <c r="BS52" s="460">
        <f t="shared" si="95"/>
        <v>2662.391933388199</v>
      </c>
      <c r="BT52" s="465">
        <v>0</v>
      </c>
      <c r="BU52" s="257">
        <v>0</v>
      </c>
      <c r="BV52" s="257">
        <v>0</v>
      </c>
      <c r="BW52" s="257">
        <v>0</v>
      </c>
      <c r="BX52" s="257">
        <v>0</v>
      </c>
      <c r="BY52" s="257">
        <v>0</v>
      </c>
      <c r="BZ52" s="257">
        <v>0</v>
      </c>
      <c r="CA52" s="257">
        <v>0</v>
      </c>
      <c r="CB52" s="462">
        <f t="shared" si="96"/>
        <v>0</v>
      </c>
      <c r="CC52" s="463">
        <f t="shared" si="97"/>
        <v>2662.391933388199</v>
      </c>
      <c r="CD52" s="343">
        <v>30</v>
      </c>
      <c r="CE52" s="462">
        <f t="shared" si="98"/>
        <v>2370601.3999999976</v>
      </c>
      <c r="CF52" s="462">
        <f t="shared" si="99"/>
        <v>2576909.4736923482</v>
      </c>
      <c r="CG52" s="462">
        <f t="shared" si="100"/>
        <v>2779266.4698291961</v>
      </c>
      <c r="CH52" s="462">
        <f t="shared" si="101"/>
        <v>3034204.9674830553</v>
      </c>
      <c r="CI52" s="464">
        <f t="shared" si="102"/>
        <v>10760982.311004598</v>
      </c>
      <c r="CJ52" s="462">
        <f t="shared" si="103"/>
        <v>0</v>
      </c>
      <c r="CK52" s="462">
        <f t="shared" si="104"/>
        <v>639.55572454730407</v>
      </c>
      <c r="CL52" s="462">
        <f t="shared" si="105"/>
        <v>0</v>
      </c>
      <c r="CM52" s="462">
        <f t="shared" si="106"/>
        <v>0</v>
      </c>
      <c r="CN52" s="464">
        <f t="shared" si="107"/>
        <v>639.55572454730407</v>
      </c>
      <c r="CO52" s="462">
        <f t="shared" si="108"/>
        <v>2370601.3999999976</v>
      </c>
      <c r="CP52" s="462">
        <f t="shared" si="109"/>
        <v>2577549.0294168955</v>
      </c>
      <c r="CQ52" s="462">
        <f t="shared" si="110"/>
        <v>2779266.4698291961</v>
      </c>
      <c r="CR52" s="462">
        <f t="shared" si="111"/>
        <v>3034204.9674830553</v>
      </c>
      <c r="CS52" s="464">
        <f t="shared" si="112"/>
        <v>10761621.866729148</v>
      </c>
    </row>
    <row r="53" spans="1:97" ht="15.75" customHeight="1" x14ac:dyDescent="0.25">
      <c r="A53" s="94" t="s">
        <v>430</v>
      </c>
      <c r="B53" s="343">
        <v>31</v>
      </c>
      <c r="C53" s="257">
        <v>2337.3599999999974</v>
      </c>
      <c r="D53" s="257">
        <v>3670.7999999999965</v>
      </c>
      <c r="E53" s="257">
        <v>43856.253561109676</v>
      </c>
      <c r="F53" s="257">
        <v>49484.120464712025</v>
      </c>
      <c r="G53" s="257">
        <v>54889.082690416501</v>
      </c>
      <c r="H53" s="257">
        <v>45599.096172460624</v>
      </c>
      <c r="I53" s="257">
        <v>39599.32846556302</v>
      </c>
      <c r="J53" s="257">
        <v>48325.250436618371</v>
      </c>
      <c r="K53" s="460">
        <f t="shared" si="86"/>
        <v>287761.2917908802</v>
      </c>
      <c r="L53" s="465">
        <v>0</v>
      </c>
      <c r="M53" s="257">
        <v>0</v>
      </c>
      <c r="N53" s="257">
        <v>0</v>
      </c>
      <c r="O53" s="257">
        <v>0</v>
      </c>
      <c r="P53" s="257">
        <v>0</v>
      </c>
      <c r="Q53" s="257">
        <v>0</v>
      </c>
      <c r="R53" s="257">
        <v>0</v>
      </c>
      <c r="S53" s="257">
        <v>0</v>
      </c>
      <c r="T53" s="462">
        <f t="shared" si="87"/>
        <v>0</v>
      </c>
      <c r="U53" s="463">
        <f t="shared" si="88"/>
        <v>287761.2917908802</v>
      </c>
      <c r="V53" s="343">
        <v>31</v>
      </c>
      <c r="W53" s="257">
        <v>0</v>
      </c>
      <c r="X53" s="257">
        <v>0</v>
      </c>
      <c r="Y53" s="257">
        <v>0</v>
      </c>
      <c r="Z53" s="257">
        <v>0</v>
      </c>
      <c r="AA53" s="257">
        <v>0</v>
      </c>
      <c r="AB53" s="257">
        <v>0</v>
      </c>
      <c r="AC53" s="257">
        <v>0</v>
      </c>
      <c r="AD53" s="257">
        <v>0</v>
      </c>
      <c r="AE53" s="460">
        <f t="shared" si="89"/>
        <v>0</v>
      </c>
      <c r="AF53" s="465">
        <v>0</v>
      </c>
      <c r="AG53" s="257">
        <v>0</v>
      </c>
      <c r="AH53" s="257">
        <v>0</v>
      </c>
      <c r="AI53" s="257">
        <v>0</v>
      </c>
      <c r="AJ53" s="257">
        <v>0</v>
      </c>
      <c r="AK53" s="257">
        <v>0</v>
      </c>
      <c r="AL53" s="257">
        <v>0</v>
      </c>
      <c r="AM53" s="257">
        <v>0</v>
      </c>
      <c r="AN53" s="462">
        <f t="shared" si="90"/>
        <v>0</v>
      </c>
      <c r="AO53" s="463">
        <f t="shared" si="91"/>
        <v>0</v>
      </c>
      <c r="AP53" s="343">
        <v>31</v>
      </c>
      <c r="AQ53" s="257">
        <v>350696.67999999976</v>
      </c>
      <c r="AR53" s="257">
        <v>556321.33999999939</v>
      </c>
      <c r="AS53" s="257">
        <v>296484.26894113037</v>
      </c>
      <c r="AT53" s="257">
        <v>640704.51604148606</v>
      </c>
      <c r="AU53" s="257">
        <v>280173.08824148279</v>
      </c>
      <c r="AV53" s="257">
        <v>700399.5505204713</v>
      </c>
      <c r="AW53" s="257">
        <v>297825.91845653311</v>
      </c>
      <c r="AX53" s="257">
        <v>667150.66240357666</v>
      </c>
      <c r="AY53" s="460">
        <f t="shared" si="92"/>
        <v>3789756.0246046791</v>
      </c>
      <c r="AZ53" s="465">
        <v>0</v>
      </c>
      <c r="BA53" s="257">
        <v>0</v>
      </c>
      <c r="BB53" s="257">
        <v>0</v>
      </c>
      <c r="BC53" s="257">
        <v>0</v>
      </c>
      <c r="BD53" s="257">
        <v>0</v>
      </c>
      <c r="BE53" s="257">
        <v>0</v>
      </c>
      <c r="BF53" s="257">
        <v>0</v>
      </c>
      <c r="BG53" s="257">
        <v>0</v>
      </c>
      <c r="BH53" s="462">
        <f t="shared" si="93"/>
        <v>0</v>
      </c>
      <c r="BI53" s="463">
        <f t="shared" si="94"/>
        <v>3789756.0246046791</v>
      </c>
      <c r="BJ53" s="343">
        <v>31</v>
      </c>
      <c r="BK53" s="257">
        <v>0</v>
      </c>
      <c r="BL53" s="257">
        <v>0</v>
      </c>
      <c r="BM53" s="257">
        <v>0</v>
      </c>
      <c r="BN53" s="257">
        <v>0</v>
      </c>
      <c r="BO53" s="257">
        <v>0</v>
      </c>
      <c r="BP53" s="257">
        <v>0</v>
      </c>
      <c r="BQ53" s="257">
        <v>0</v>
      </c>
      <c r="BR53" s="257">
        <v>0</v>
      </c>
      <c r="BS53" s="460">
        <f t="shared" si="95"/>
        <v>0</v>
      </c>
      <c r="BT53" s="465">
        <v>0</v>
      </c>
      <c r="BU53" s="257">
        <v>0</v>
      </c>
      <c r="BV53" s="257">
        <v>0</v>
      </c>
      <c r="BW53" s="257">
        <v>0</v>
      </c>
      <c r="BX53" s="257">
        <v>0</v>
      </c>
      <c r="BY53" s="257">
        <v>0</v>
      </c>
      <c r="BZ53" s="257">
        <v>0</v>
      </c>
      <c r="CA53" s="257">
        <v>0</v>
      </c>
      <c r="CB53" s="462">
        <f t="shared" si="96"/>
        <v>0</v>
      </c>
      <c r="CC53" s="463">
        <f t="shared" si="97"/>
        <v>0</v>
      </c>
      <c r="CD53" s="343">
        <v>31</v>
      </c>
      <c r="CE53" s="462">
        <f t="shared" si="98"/>
        <v>913026.17999999912</v>
      </c>
      <c r="CF53" s="462">
        <f t="shared" si="99"/>
        <v>1030529.1590084381</v>
      </c>
      <c r="CG53" s="462">
        <f t="shared" si="100"/>
        <v>1081060.8176248311</v>
      </c>
      <c r="CH53" s="462">
        <f t="shared" si="101"/>
        <v>1052901.1597622912</v>
      </c>
      <c r="CI53" s="464">
        <f t="shared" si="102"/>
        <v>4077517.3163955593</v>
      </c>
      <c r="CJ53" s="462">
        <f t="shared" si="103"/>
        <v>0</v>
      </c>
      <c r="CK53" s="462">
        <f t="shared" si="104"/>
        <v>0</v>
      </c>
      <c r="CL53" s="462">
        <f t="shared" si="105"/>
        <v>0</v>
      </c>
      <c r="CM53" s="462">
        <f t="shared" si="106"/>
        <v>0</v>
      </c>
      <c r="CN53" s="464">
        <f t="shared" si="107"/>
        <v>0</v>
      </c>
      <c r="CO53" s="462">
        <f t="shared" si="108"/>
        <v>913026.17999999912</v>
      </c>
      <c r="CP53" s="462">
        <f t="shared" si="109"/>
        <v>1030529.1590084381</v>
      </c>
      <c r="CQ53" s="462">
        <f t="shared" si="110"/>
        <v>1081060.8176248311</v>
      </c>
      <c r="CR53" s="462">
        <f t="shared" si="111"/>
        <v>1052901.1597622912</v>
      </c>
      <c r="CS53" s="464">
        <f t="shared" si="112"/>
        <v>4077517.3163955593</v>
      </c>
    </row>
    <row r="54" spans="1:97" ht="15.75" customHeight="1" x14ac:dyDescent="0.25">
      <c r="A54" s="94" t="s">
        <v>453</v>
      </c>
      <c r="B54" s="343">
        <v>32</v>
      </c>
      <c r="C54" s="257">
        <v>0</v>
      </c>
      <c r="D54" s="257">
        <v>0</v>
      </c>
      <c r="E54" s="257">
        <v>0</v>
      </c>
      <c r="F54" s="257">
        <v>0</v>
      </c>
      <c r="G54" s="257">
        <v>0</v>
      </c>
      <c r="H54" s="257">
        <v>0</v>
      </c>
      <c r="I54" s="257">
        <v>0</v>
      </c>
      <c r="J54" s="257">
        <v>0</v>
      </c>
      <c r="K54" s="460">
        <f t="shared" si="86"/>
        <v>0</v>
      </c>
      <c r="L54" s="465">
        <v>0</v>
      </c>
      <c r="M54" s="257">
        <v>0</v>
      </c>
      <c r="N54" s="257">
        <v>0</v>
      </c>
      <c r="O54" s="257">
        <v>0</v>
      </c>
      <c r="P54" s="257">
        <v>0</v>
      </c>
      <c r="Q54" s="257">
        <v>0</v>
      </c>
      <c r="R54" s="257">
        <v>0</v>
      </c>
      <c r="S54" s="257">
        <v>0</v>
      </c>
      <c r="T54" s="462">
        <f t="shared" si="87"/>
        <v>0</v>
      </c>
      <c r="U54" s="463">
        <f t="shared" si="88"/>
        <v>0</v>
      </c>
      <c r="V54" s="343">
        <v>32</v>
      </c>
      <c r="W54" s="257">
        <v>0</v>
      </c>
      <c r="X54" s="257">
        <v>0</v>
      </c>
      <c r="Y54" s="257">
        <v>0</v>
      </c>
      <c r="Z54" s="257">
        <v>0</v>
      </c>
      <c r="AA54" s="257">
        <v>0</v>
      </c>
      <c r="AB54" s="257">
        <v>0</v>
      </c>
      <c r="AC54" s="257">
        <v>0</v>
      </c>
      <c r="AD54" s="257">
        <v>0</v>
      </c>
      <c r="AE54" s="460">
        <f t="shared" si="89"/>
        <v>0</v>
      </c>
      <c r="AF54" s="465">
        <v>0</v>
      </c>
      <c r="AG54" s="257">
        <v>0</v>
      </c>
      <c r="AH54" s="257">
        <v>0</v>
      </c>
      <c r="AI54" s="257">
        <v>0</v>
      </c>
      <c r="AJ54" s="257">
        <v>0</v>
      </c>
      <c r="AK54" s="257">
        <v>0</v>
      </c>
      <c r="AL54" s="257">
        <v>0</v>
      </c>
      <c r="AM54" s="257">
        <v>0</v>
      </c>
      <c r="AN54" s="462">
        <f t="shared" si="90"/>
        <v>0</v>
      </c>
      <c r="AO54" s="463">
        <f t="shared" si="91"/>
        <v>0</v>
      </c>
      <c r="AP54" s="343">
        <v>32</v>
      </c>
      <c r="AQ54" s="257">
        <v>0</v>
      </c>
      <c r="AR54" s="257">
        <v>0</v>
      </c>
      <c r="AS54" s="257">
        <v>0</v>
      </c>
      <c r="AT54" s="257">
        <v>0</v>
      </c>
      <c r="AU54" s="257">
        <v>0</v>
      </c>
      <c r="AV54" s="257">
        <v>0</v>
      </c>
      <c r="AW54" s="257">
        <v>0</v>
      </c>
      <c r="AX54" s="257">
        <v>0</v>
      </c>
      <c r="AY54" s="460">
        <f t="shared" si="92"/>
        <v>0</v>
      </c>
      <c r="AZ54" s="465">
        <v>0</v>
      </c>
      <c r="BA54" s="257">
        <v>0</v>
      </c>
      <c r="BB54" s="257">
        <v>0</v>
      </c>
      <c r="BC54" s="257">
        <v>0</v>
      </c>
      <c r="BD54" s="257">
        <v>0</v>
      </c>
      <c r="BE54" s="257">
        <v>0</v>
      </c>
      <c r="BF54" s="257">
        <v>0</v>
      </c>
      <c r="BG54" s="257">
        <v>0</v>
      </c>
      <c r="BH54" s="462">
        <f t="shared" si="93"/>
        <v>0</v>
      </c>
      <c r="BI54" s="463">
        <f t="shared" si="94"/>
        <v>0</v>
      </c>
      <c r="BJ54" s="343">
        <v>32</v>
      </c>
      <c r="BK54" s="257">
        <v>0</v>
      </c>
      <c r="BL54" s="257">
        <v>0</v>
      </c>
      <c r="BM54" s="257">
        <v>0</v>
      </c>
      <c r="BN54" s="257">
        <v>0</v>
      </c>
      <c r="BO54" s="257">
        <v>0</v>
      </c>
      <c r="BP54" s="257">
        <v>0</v>
      </c>
      <c r="BQ54" s="257">
        <v>0</v>
      </c>
      <c r="BR54" s="257">
        <v>0</v>
      </c>
      <c r="BS54" s="460">
        <f t="shared" si="95"/>
        <v>0</v>
      </c>
      <c r="BT54" s="465">
        <v>0</v>
      </c>
      <c r="BU54" s="257">
        <v>0</v>
      </c>
      <c r="BV54" s="257">
        <v>0</v>
      </c>
      <c r="BW54" s="257">
        <v>0</v>
      </c>
      <c r="BX54" s="257">
        <v>0</v>
      </c>
      <c r="BY54" s="257">
        <v>0</v>
      </c>
      <c r="BZ54" s="257">
        <v>0</v>
      </c>
      <c r="CA54" s="257">
        <v>0</v>
      </c>
      <c r="CB54" s="462">
        <f t="shared" si="96"/>
        <v>0</v>
      </c>
      <c r="CC54" s="463">
        <f t="shared" si="97"/>
        <v>0</v>
      </c>
      <c r="CD54" s="343">
        <v>32</v>
      </c>
      <c r="CE54" s="462">
        <f t="shared" si="98"/>
        <v>0</v>
      </c>
      <c r="CF54" s="462">
        <f t="shared" si="99"/>
        <v>0</v>
      </c>
      <c r="CG54" s="462">
        <f t="shared" si="100"/>
        <v>0</v>
      </c>
      <c r="CH54" s="462">
        <f t="shared" si="101"/>
        <v>0</v>
      </c>
      <c r="CI54" s="464">
        <f t="shared" si="102"/>
        <v>0</v>
      </c>
      <c r="CJ54" s="462">
        <f t="shared" si="103"/>
        <v>0</v>
      </c>
      <c r="CK54" s="462">
        <f t="shared" si="104"/>
        <v>0</v>
      </c>
      <c r="CL54" s="462">
        <f t="shared" si="105"/>
        <v>0</v>
      </c>
      <c r="CM54" s="462">
        <f t="shared" si="106"/>
        <v>0</v>
      </c>
      <c r="CN54" s="464">
        <f t="shared" si="107"/>
        <v>0</v>
      </c>
      <c r="CO54" s="462">
        <f t="shared" si="108"/>
        <v>0</v>
      </c>
      <c r="CP54" s="462">
        <f t="shared" si="109"/>
        <v>0</v>
      </c>
      <c r="CQ54" s="462">
        <f t="shared" si="110"/>
        <v>0</v>
      </c>
      <c r="CR54" s="462">
        <f t="shared" si="111"/>
        <v>0</v>
      </c>
      <c r="CS54" s="464">
        <f t="shared" si="112"/>
        <v>0</v>
      </c>
    </row>
    <row r="55" spans="1:97" ht="15.75" customHeight="1" x14ac:dyDescent="0.25">
      <c r="A55" s="94" t="s">
        <v>1459</v>
      </c>
      <c r="B55" s="343">
        <v>33</v>
      </c>
      <c r="C55" s="257">
        <v>6109.7099999999937</v>
      </c>
      <c r="D55" s="257">
        <v>79540.689999999915</v>
      </c>
      <c r="E55" s="257">
        <v>31084.811687884696</v>
      </c>
      <c r="F55" s="257">
        <v>264046.41615099326</v>
      </c>
      <c r="G55" s="257">
        <v>21424.369006732053</v>
      </c>
      <c r="H55" s="257">
        <v>249678.10087179681</v>
      </c>
      <c r="I55" s="257">
        <v>15384.460646315451</v>
      </c>
      <c r="J55" s="257">
        <v>190363.82338436198</v>
      </c>
      <c r="K55" s="460">
        <f t="shared" si="86"/>
        <v>857632.38174808421</v>
      </c>
      <c r="L55" s="465">
        <v>0</v>
      </c>
      <c r="M55" s="257">
        <v>26883.650000000009</v>
      </c>
      <c r="N55" s="257">
        <v>0</v>
      </c>
      <c r="O55" s="257">
        <v>92538.941463989016</v>
      </c>
      <c r="P55" s="257">
        <v>0</v>
      </c>
      <c r="Q55" s="257">
        <v>64196.013145117387</v>
      </c>
      <c r="R55" s="257">
        <v>0</v>
      </c>
      <c r="S55" s="257">
        <v>59727.627557475178</v>
      </c>
      <c r="T55" s="462">
        <f t="shared" si="87"/>
        <v>243346.23216658158</v>
      </c>
      <c r="U55" s="463">
        <f t="shared" si="88"/>
        <v>1100978.6139146658</v>
      </c>
      <c r="V55" s="343">
        <v>33</v>
      </c>
      <c r="W55" s="257">
        <v>0</v>
      </c>
      <c r="X55" s="257">
        <v>28968.229999999974</v>
      </c>
      <c r="Y55" s="257">
        <v>0</v>
      </c>
      <c r="Z55" s="257">
        <v>22513.36781257208</v>
      </c>
      <c r="AA55" s="257">
        <v>0</v>
      </c>
      <c r="AB55" s="257">
        <v>30081.495370576413</v>
      </c>
      <c r="AC55" s="257">
        <v>0</v>
      </c>
      <c r="AD55" s="257">
        <v>34616.202763237648</v>
      </c>
      <c r="AE55" s="460">
        <f t="shared" si="89"/>
        <v>116179.29594638612</v>
      </c>
      <c r="AF55" s="465">
        <v>0</v>
      </c>
      <c r="AG55" s="257">
        <v>10943.169999999991</v>
      </c>
      <c r="AH55" s="257">
        <v>0</v>
      </c>
      <c r="AI55" s="257">
        <v>9282.0381204032183</v>
      </c>
      <c r="AJ55" s="257">
        <v>0</v>
      </c>
      <c r="AK55" s="257">
        <v>8465.2607343079417</v>
      </c>
      <c r="AL55" s="257">
        <v>0</v>
      </c>
      <c r="AM55" s="257">
        <v>11268.128284667893</v>
      </c>
      <c r="AN55" s="462">
        <f t="shared" si="90"/>
        <v>39958.597139379046</v>
      </c>
      <c r="AO55" s="463">
        <f t="shared" si="91"/>
        <v>156137.89308576516</v>
      </c>
      <c r="AP55" s="343">
        <v>33</v>
      </c>
      <c r="AQ55" s="257">
        <v>109920.35999999991</v>
      </c>
      <c r="AR55" s="257">
        <v>1165675.3799999983</v>
      </c>
      <c r="AS55" s="257">
        <v>129836.36001946335</v>
      </c>
      <c r="AT55" s="257">
        <v>1108019.6801281183</v>
      </c>
      <c r="AU55" s="257">
        <v>77870.497962073641</v>
      </c>
      <c r="AV55" s="257">
        <v>1132253.3261033644</v>
      </c>
      <c r="AW55" s="257">
        <v>77642.287914140281</v>
      </c>
      <c r="AX55" s="257">
        <v>1115284.8579156329</v>
      </c>
      <c r="AY55" s="460">
        <f t="shared" si="92"/>
        <v>4916502.7500427905</v>
      </c>
      <c r="AZ55" s="465">
        <v>0</v>
      </c>
      <c r="BA55" s="257">
        <v>766736.48000000208</v>
      </c>
      <c r="BB55" s="257">
        <v>0</v>
      </c>
      <c r="BC55" s="257">
        <v>674922.36463725474</v>
      </c>
      <c r="BD55" s="257">
        <v>0</v>
      </c>
      <c r="BE55" s="257">
        <v>668454.64109825564</v>
      </c>
      <c r="BF55" s="257">
        <v>0</v>
      </c>
      <c r="BG55" s="257">
        <v>702475.08456912567</v>
      </c>
      <c r="BH55" s="462">
        <f t="shared" si="93"/>
        <v>2812588.5703046378</v>
      </c>
      <c r="BI55" s="463">
        <f t="shared" si="94"/>
        <v>7729091.3203474283</v>
      </c>
      <c r="BJ55" s="343">
        <v>33</v>
      </c>
      <c r="BK55" s="257">
        <v>59.999999999999936</v>
      </c>
      <c r="BL55" s="257">
        <v>11360.03999999999</v>
      </c>
      <c r="BM55" s="257">
        <v>0</v>
      </c>
      <c r="BN55" s="257">
        <v>10821.82855727989</v>
      </c>
      <c r="BO55" s="257">
        <v>0</v>
      </c>
      <c r="BP55" s="257">
        <v>3678.6298227036864</v>
      </c>
      <c r="BQ55" s="257">
        <v>17.615288076224324</v>
      </c>
      <c r="BR55" s="257">
        <v>10340.526004329678</v>
      </c>
      <c r="BS55" s="460">
        <f t="shared" si="95"/>
        <v>36278.639672389465</v>
      </c>
      <c r="BT55" s="465">
        <v>0</v>
      </c>
      <c r="BU55" s="257">
        <v>15372.819999999998</v>
      </c>
      <c r="BV55" s="257">
        <v>0</v>
      </c>
      <c r="BW55" s="257">
        <v>10759.79937783386</v>
      </c>
      <c r="BX55" s="257">
        <v>0</v>
      </c>
      <c r="BY55" s="257">
        <v>5202.931540690829</v>
      </c>
      <c r="BZ55" s="257">
        <v>0</v>
      </c>
      <c r="CA55" s="257">
        <v>12154.693236573457</v>
      </c>
      <c r="CB55" s="462">
        <f t="shared" si="96"/>
        <v>43490.244155098146</v>
      </c>
      <c r="CC55" s="463">
        <f t="shared" si="97"/>
        <v>79768.883827487618</v>
      </c>
      <c r="CD55" s="343">
        <v>33</v>
      </c>
      <c r="CE55" s="462">
        <f t="shared" si="98"/>
        <v>1401634.4099999981</v>
      </c>
      <c r="CF55" s="462">
        <f t="shared" si="99"/>
        <v>1566322.4643563116</v>
      </c>
      <c r="CG55" s="462">
        <f t="shared" si="100"/>
        <v>1514986.4191372471</v>
      </c>
      <c r="CH55" s="462">
        <f t="shared" si="101"/>
        <v>1443649.7739160943</v>
      </c>
      <c r="CI55" s="464">
        <f t="shared" si="102"/>
        <v>5926593.0674096504</v>
      </c>
      <c r="CJ55" s="462">
        <f t="shared" si="103"/>
        <v>819936.12000000197</v>
      </c>
      <c r="CK55" s="462">
        <f t="shared" si="104"/>
        <v>787503.14359948086</v>
      </c>
      <c r="CL55" s="462">
        <f t="shared" si="105"/>
        <v>746318.84651837184</v>
      </c>
      <c r="CM55" s="462">
        <f t="shared" si="106"/>
        <v>785625.53364784224</v>
      </c>
      <c r="CN55" s="464">
        <f t="shared" si="107"/>
        <v>3139383.6437656968</v>
      </c>
      <c r="CO55" s="462">
        <f t="shared" si="108"/>
        <v>2221570.5299999998</v>
      </c>
      <c r="CP55" s="462">
        <f t="shared" si="109"/>
        <v>2353825.6079557925</v>
      </c>
      <c r="CQ55" s="462">
        <f t="shared" si="110"/>
        <v>2261305.2656556186</v>
      </c>
      <c r="CR55" s="462">
        <f t="shared" si="111"/>
        <v>2229275.3075639368</v>
      </c>
      <c r="CS55" s="464">
        <f t="shared" si="112"/>
        <v>9065976.7111753467</v>
      </c>
    </row>
    <row r="56" spans="1:97" ht="15.75" customHeight="1" x14ac:dyDescent="0.25">
      <c r="A56" s="94" t="s">
        <v>285</v>
      </c>
      <c r="B56" s="343">
        <v>34</v>
      </c>
      <c r="C56" s="257">
        <v>2525.7699999999973</v>
      </c>
      <c r="D56" s="257">
        <v>26597.439999999966</v>
      </c>
      <c r="E56" s="257">
        <v>7481.1101695710513</v>
      </c>
      <c r="F56" s="257">
        <v>47464.25982300585</v>
      </c>
      <c r="G56" s="257">
        <v>7816.7942234506027</v>
      </c>
      <c r="H56" s="257">
        <v>39881.294802553282</v>
      </c>
      <c r="I56" s="257">
        <v>7175.0929219519467</v>
      </c>
      <c r="J56" s="257">
        <v>39325.467040551492</v>
      </c>
      <c r="K56" s="460">
        <f t="shared" si="86"/>
        <v>178267.22898108419</v>
      </c>
      <c r="L56" s="465">
        <v>0</v>
      </c>
      <c r="M56" s="257">
        <v>12018.96</v>
      </c>
      <c r="N56" s="257">
        <v>0</v>
      </c>
      <c r="O56" s="257">
        <v>39168.753194990692</v>
      </c>
      <c r="P56" s="257">
        <v>0</v>
      </c>
      <c r="Q56" s="257">
        <v>39849.297085469218</v>
      </c>
      <c r="R56" s="257">
        <v>0</v>
      </c>
      <c r="S56" s="257">
        <v>37901.909887400419</v>
      </c>
      <c r="T56" s="462">
        <f t="shared" si="87"/>
        <v>128938.92016786034</v>
      </c>
      <c r="U56" s="463">
        <f t="shared" si="88"/>
        <v>307206.14914894453</v>
      </c>
      <c r="V56" s="343">
        <v>34</v>
      </c>
      <c r="W56" s="257">
        <v>298.1399999999997</v>
      </c>
      <c r="X56" s="257">
        <v>14080.319999999983</v>
      </c>
      <c r="Y56" s="257">
        <v>0</v>
      </c>
      <c r="Z56" s="257">
        <v>9271.7369055582076</v>
      </c>
      <c r="AA56" s="257">
        <v>0</v>
      </c>
      <c r="AB56" s="257">
        <v>7107.6604017145892</v>
      </c>
      <c r="AC56" s="257">
        <v>338.55135850606479</v>
      </c>
      <c r="AD56" s="257">
        <v>7904.6292732777229</v>
      </c>
      <c r="AE56" s="460">
        <f t="shared" si="89"/>
        <v>39001.037939056572</v>
      </c>
      <c r="AF56" s="465">
        <v>0</v>
      </c>
      <c r="AG56" s="257">
        <v>4900.9600000000009</v>
      </c>
      <c r="AH56" s="257">
        <v>0</v>
      </c>
      <c r="AI56" s="257">
        <v>1349.063638188102</v>
      </c>
      <c r="AJ56" s="257">
        <v>0</v>
      </c>
      <c r="AK56" s="257">
        <v>904.52577855918469</v>
      </c>
      <c r="AL56" s="257">
        <v>0</v>
      </c>
      <c r="AM56" s="257">
        <v>2840.9957393663299</v>
      </c>
      <c r="AN56" s="462">
        <f t="shared" si="90"/>
        <v>9995.5451561136178</v>
      </c>
      <c r="AO56" s="463">
        <f t="shared" si="91"/>
        <v>48996.583095170194</v>
      </c>
      <c r="AP56" s="343">
        <v>34</v>
      </c>
      <c r="AQ56" s="257">
        <v>25488.489999999976</v>
      </c>
      <c r="AR56" s="257">
        <v>228127.13999999969</v>
      </c>
      <c r="AS56" s="257">
        <v>25285.956952770695</v>
      </c>
      <c r="AT56" s="257">
        <v>233879.63019966744</v>
      </c>
      <c r="AU56" s="257">
        <v>33902.168251604016</v>
      </c>
      <c r="AV56" s="257">
        <v>229155.15704027234</v>
      </c>
      <c r="AW56" s="257">
        <v>38175.526556616613</v>
      </c>
      <c r="AX56" s="257">
        <v>232429.67424734688</v>
      </c>
      <c r="AY56" s="460">
        <f t="shared" si="92"/>
        <v>1046443.7432482776</v>
      </c>
      <c r="AZ56" s="465">
        <v>0</v>
      </c>
      <c r="BA56" s="257">
        <v>170911.8100000002</v>
      </c>
      <c r="BB56" s="257">
        <v>0</v>
      </c>
      <c r="BC56" s="257">
        <v>145888.87751860812</v>
      </c>
      <c r="BD56" s="257">
        <v>0</v>
      </c>
      <c r="BE56" s="257">
        <v>140068.96189187124</v>
      </c>
      <c r="BF56" s="257">
        <v>0</v>
      </c>
      <c r="BG56" s="257">
        <v>125019.88916810734</v>
      </c>
      <c r="BH56" s="462">
        <f t="shared" si="93"/>
        <v>581889.53857858689</v>
      </c>
      <c r="BI56" s="463">
        <f t="shared" si="94"/>
        <v>1628333.2818268645</v>
      </c>
      <c r="BJ56" s="343">
        <v>34</v>
      </c>
      <c r="BK56" s="257">
        <v>0</v>
      </c>
      <c r="BL56" s="257">
        <v>5188.1399999999931</v>
      </c>
      <c r="BM56" s="257">
        <v>0</v>
      </c>
      <c r="BN56" s="257">
        <v>6902.2498029631979</v>
      </c>
      <c r="BO56" s="257">
        <v>0</v>
      </c>
      <c r="BP56" s="257">
        <v>3433.5266899159042</v>
      </c>
      <c r="BQ56" s="257">
        <v>285.49435212579323</v>
      </c>
      <c r="BR56" s="257">
        <v>10402.772721498573</v>
      </c>
      <c r="BS56" s="460">
        <f t="shared" si="95"/>
        <v>26212.183566503463</v>
      </c>
      <c r="BT56" s="465">
        <v>0</v>
      </c>
      <c r="BU56" s="257">
        <v>13845.199999999997</v>
      </c>
      <c r="BV56" s="257">
        <v>0</v>
      </c>
      <c r="BW56" s="257">
        <v>15632.408112842546</v>
      </c>
      <c r="BX56" s="257">
        <v>0</v>
      </c>
      <c r="BY56" s="257">
        <v>9379.8973170055178</v>
      </c>
      <c r="BZ56" s="257">
        <v>0</v>
      </c>
      <c r="CA56" s="257">
        <v>14463.092415921625</v>
      </c>
      <c r="CB56" s="462">
        <f t="shared" si="96"/>
        <v>53320.597845769684</v>
      </c>
      <c r="CC56" s="463">
        <f t="shared" si="97"/>
        <v>79532.781412273151</v>
      </c>
      <c r="CD56" s="343">
        <v>34</v>
      </c>
      <c r="CE56" s="462">
        <f t="shared" si="98"/>
        <v>302305.43999999959</v>
      </c>
      <c r="CF56" s="462">
        <f t="shared" si="99"/>
        <v>330284.9438535365</v>
      </c>
      <c r="CG56" s="462">
        <f t="shared" si="100"/>
        <v>321296.60140951077</v>
      </c>
      <c r="CH56" s="462">
        <f t="shared" si="101"/>
        <v>336037.20847187506</v>
      </c>
      <c r="CI56" s="464">
        <f t="shared" si="102"/>
        <v>1289924.1937349217</v>
      </c>
      <c r="CJ56" s="462">
        <f t="shared" si="103"/>
        <v>201676.93000000023</v>
      </c>
      <c r="CK56" s="462">
        <f t="shared" si="104"/>
        <v>202039.10246462945</v>
      </c>
      <c r="CL56" s="462">
        <f t="shared" si="105"/>
        <v>190202.68207290515</v>
      </c>
      <c r="CM56" s="462">
        <f t="shared" si="106"/>
        <v>180225.88721079571</v>
      </c>
      <c r="CN56" s="464">
        <f t="shared" si="107"/>
        <v>774144.60174833052</v>
      </c>
      <c r="CO56" s="462">
        <f t="shared" si="108"/>
        <v>503982.36999999982</v>
      </c>
      <c r="CP56" s="462">
        <f t="shared" si="109"/>
        <v>532324.04631816596</v>
      </c>
      <c r="CQ56" s="462">
        <f t="shared" si="110"/>
        <v>511499.28348241589</v>
      </c>
      <c r="CR56" s="462">
        <f t="shared" si="111"/>
        <v>516263.09568267083</v>
      </c>
      <c r="CS56" s="464">
        <f t="shared" si="112"/>
        <v>2064068.7954832523</v>
      </c>
    </row>
    <row r="57" spans="1:97" ht="15.75" customHeight="1" x14ac:dyDescent="0.25">
      <c r="A57" s="94" t="s">
        <v>240</v>
      </c>
      <c r="B57" s="343">
        <v>35</v>
      </c>
      <c r="C57" s="257">
        <v>3163.0599999999968</v>
      </c>
      <c r="D57" s="257">
        <v>9813.2899999999918</v>
      </c>
      <c r="E57" s="257">
        <v>5743.1589268617763</v>
      </c>
      <c r="F57" s="257">
        <v>12933.588782758718</v>
      </c>
      <c r="G57" s="257">
        <v>7562.1080658608462</v>
      </c>
      <c r="H57" s="257">
        <v>16059.937921293709</v>
      </c>
      <c r="I57" s="257">
        <v>5244.7509369323661</v>
      </c>
      <c r="J57" s="257">
        <v>11002.758281236362</v>
      </c>
      <c r="K57" s="460">
        <f t="shared" si="86"/>
        <v>71522.652914943756</v>
      </c>
      <c r="L57" s="465">
        <v>0</v>
      </c>
      <c r="M57" s="257">
        <v>10412.440000000004</v>
      </c>
      <c r="N57" s="257">
        <v>0</v>
      </c>
      <c r="O57" s="257">
        <v>19802.543176655276</v>
      </c>
      <c r="P57" s="257">
        <v>0</v>
      </c>
      <c r="Q57" s="257">
        <v>23143.871406208153</v>
      </c>
      <c r="R57" s="257">
        <v>0</v>
      </c>
      <c r="S57" s="257">
        <v>13584.152267534037</v>
      </c>
      <c r="T57" s="462">
        <f t="shared" si="87"/>
        <v>66943.006850397476</v>
      </c>
      <c r="U57" s="463">
        <f t="shared" si="88"/>
        <v>138465.65976534123</v>
      </c>
      <c r="V57" s="343">
        <v>35</v>
      </c>
      <c r="W57" s="257">
        <v>228.38999999999976</v>
      </c>
      <c r="X57" s="257">
        <v>2482.4699999999975</v>
      </c>
      <c r="Y57" s="257">
        <v>228.41382019621227</v>
      </c>
      <c r="Z57" s="257">
        <v>1103.8751179113415</v>
      </c>
      <c r="AA57" s="257">
        <v>278.10799145790259</v>
      </c>
      <c r="AB57" s="257">
        <v>1936.2015952301049</v>
      </c>
      <c r="AC57" s="257">
        <v>323.89206055222053</v>
      </c>
      <c r="AD57" s="257">
        <v>1765.1081698114372</v>
      </c>
      <c r="AE57" s="460">
        <f t="shared" si="89"/>
        <v>8346.4587551592158</v>
      </c>
      <c r="AF57" s="465">
        <v>0</v>
      </c>
      <c r="AG57" s="257">
        <v>2758.7299999999996</v>
      </c>
      <c r="AH57" s="257">
        <v>0</v>
      </c>
      <c r="AI57" s="257">
        <v>773.21633703679265</v>
      </c>
      <c r="AJ57" s="257">
        <v>0</v>
      </c>
      <c r="AK57" s="257">
        <v>2292.354013269236</v>
      </c>
      <c r="AL57" s="257">
        <v>0</v>
      </c>
      <c r="AM57" s="257">
        <v>2070.7191268288311</v>
      </c>
      <c r="AN57" s="462">
        <f t="shared" si="90"/>
        <v>7895.0194771348597</v>
      </c>
      <c r="AO57" s="463">
        <f t="shared" si="91"/>
        <v>16241.478232294075</v>
      </c>
      <c r="AP57" s="343">
        <v>35</v>
      </c>
      <c r="AQ57" s="257">
        <v>39873.839999999975</v>
      </c>
      <c r="AR57" s="257">
        <v>158151.89999999988</v>
      </c>
      <c r="AS57" s="257">
        <v>22769.144486310794</v>
      </c>
      <c r="AT57" s="257">
        <v>78191.754247964331</v>
      </c>
      <c r="AU57" s="257">
        <v>42651.369759705565</v>
      </c>
      <c r="AV57" s="257">
        <v>106336.95825202143</v>
      </c>
      <c r="AW57" s="257">
        <v>29493.019433685211</v>
      </c>
      <c r="AX57" s="257">
        <v>100559.98884345961</v>
      </c>
      <c r="AY57" s="460">
        <f t="shared" si="92"/>
        <v>578027.97502314684</v>
      </c>
      <c r="AZ57" s="465">
        <v>0</v>
      </c>
      <c r="BA57" s="257">
        <v>176637.95000000004</v>
      </c>
      <c r="BB57" s="257">
        <v>0</v>
      </c>
      <c r="BC57" s="257">
        <v>161681.29213349594</v>
      </c>
      <c r="BD57" s="257">
        <v>0</v>
      </c>
      <c r="BE57" s="257">
        <v>164639.20897356729</v>
      </c>
      <c r="BF57" s="257">
        <v>0</v>
      </c>
      <c r="BG57" s="257">
        <v>157774.78436646308</v>
      </c>
      <c r="BH57" s="462">
        <f t="shared" si="93"/>
        <v>660733.23547352641</v>
      </c>
      <c r="BI57" s="463">
        <f t="shared" si="94"/>
        <v>1238761.2104966734</v>
      </c>
      <c r="BJ57" s="343">
        <v>35</v>
      </c>
      <c r="BK57" s="257">
        <v>704.96999999999935</v>
      </c>
      <c r="BL57" s="257">
        <v>3077.7499999999968</v>
      </c>
      <c r="BM57" s="257">
        <v>0</v>
      </c>
      <c r="BN57" s="257">
        <v>1048.6893628501437</v>
      </c>
      <c r="BO57" s="257">
        <v>205.42920983541111</v>
      </c>
      <c r="BP57" s="257">
        <v>2388.8868640104811</v>
      </c>
      <c r="BQ57" s="257">
        <v>61.764106536670106</v>
      </c>
      <c r="BR57" s="257">
        <v>2182.586475462685</v>
      </c>
      <c r="BS57" s="460">
        <f t="shared" si="95"/>
        <v>9670.0760186953867</v>
      </c>
      <c r="BT57" s="465">
        <v>0</v>
      </c>
      <c r="BU57" s="257">
        <v>943.97999999999945</v>
      </c>
      <c r="BV57" s="257">
        <v>0</v>
      </c>
      <c r="BW57" s="257">
        <v>1707.8200089175377</v>
      </c>
      <c r="BX57" s="257">
        <v>0</v>
      </c>
      <c r="BY57" s="257">
        <v>3702.6406710605006</v>
      </c>
      <c r="BZ57" s="257">
        <v>0</v>
      </c>
      <c r="CA57" s="257">
        <v>4060.671816393181</v>
      </c>
      <c r="CB57" s="462">
        <f t="shared" si="96"/>
        <v>10415.112496371217</v>
      </c>
      <c r="CC57" s="463">
        <f t="shared" si="97"/>
        <v>20085.188515066606</v>
      </c>
      <c r="CD57" s="343">
        <v>35</v>
      </c>
      <c r="CE57" s="462">
        <f t="shared" si="98"/>
        <v>217495.66999999984</v>
      </c>
      <c r="CF57" s="462">
        <f t="shared" si="99"/>
        <v>122018.62474485331</v>
      </c>
      <c r="CG57" s="462">
        <f t="shared" si="100"/>
        <v>177418.99965941545</v>
      </c>
      <c r="CH57" s="462">
        <f t="shared" si="101"/>
        <v>150633.86830767654</v>
      </c>
      <c r="CI57" s="464">
        <f t="shared" si="102"/>
        <v>667567.16271194513</v>
      </c>
      <c r="CJ57" s="462">
        <f t="shared" si="103"/>
        <v>190753.10000000006</v>
      </c>
      <c r="CK57" s="462">
        <f t="shared" si="104"/>
        <v>183964.87165610553</v>
      </c>
      <c r="CL57" s="462">
        <f t="shared" si="105"/>
        <v>193778.07506410519</v>
      </c>
      <c r="CM57" s="462">
        <f t="shared" si="106"/>
        <v>177490.32757721914</v>
      </c>
      <c r="CN57" s="464">
        <f t="shared" si="107"/>
        <v>745986.37429743004</v>
      </c>
      <c r="CO57" s="462">
        <f t="shared" si="108"/>
        <v>408248.76999999984</v>
      </c>
      <c r="CP57" s="462">
        <f t="shared" si="109"/>
        <v>305983.49640095892</v>
      </c>
      <c r="CQ57" s="462">
        <f t="shared" si="110"/>
        <v>371197.07472352061</v>
      </c>
      <c r="CR57" s="462">
        <f t="shared" si="111"/>
        <v>328124.19588489574</v>
      </c>
      <c r="CS57" s="464">
        <f t="shared" si="112"/>
        <v>1413553.5370093754</v>
      </c>
    </row>
    <row r="58" spans="1:97" ht="15.75" customHeight="1" x14ac:dyDescent="0.25">
      <c r="A58" s="94" t="s">
        <v>230</v>
      </c>
      <c r="B58" s="343">
        <v>36</v>
      </c>
      <c r="C58" s="257">
        <v>0</v>
      </c>
      <c r="D58" s="257">
        <v>0</v>
      </c>
      <c r="E58" s="257">
        <v>0</v>
      </c>
      <c r="F58" s="257">
        <v>0</v>
      </c>
      <c r="G58" s="257">
        <v>0</v>
      </c>
      <c r="H58" s="257">
        <v>0</v>
      </c>
      <c r="I58" s="257">
        <v>0</v>
      </c>
      <c r="J58" s="257">
        <v>0</v>
      </c>
      <c r="K58" s="460">
        <f t="shared" si="86"/>
        <v>0</v>
      </c>
      <c r="L58" s="465">
        <v>0</v>
      </c>
      <c r="M58" s="257">
        <v>0</v>
      </c>
      <c r="N58" s="257">
        <v>0</v>
      </c>
      <c r="O58" s="257">
        <v>0</v>
      </c>
      <c r="P58" s="257">
        <v>0</v>
      </c>
      <c r="Q58" s="257">
        <v>0</v>
      </c>
      <c r="R58" s="257">
        <v>0</v>
      </c>
      <c r="S58" s="257">
        <v>0</v>
      </c>
      <c r="T58" s="462">
        <f t="shared" si="87"/>
        <v>0</v>
      </c>
      <c r="U58" s="463">
        <f t="shared" si="88"/>
        <v>0</v>
      </c>
      <c r="V58" s="343">
        <v>36</v>
      </c>
      <c r="W58" s="257">
        <v>0</v>
      </c>
      <c r="X58" s="257">
        <v>0</v>
      </c>
      <c r="Y58" s="257">
        <v>0</v>
      </c>
      <c r="Z58" s="257">
        <v>0</v>
      </c>
      <c r="AA58" s="257">
        <v>0</v>
      </c>
      <c r="AB58" s="257">
        <v>0</v>
      </c>
      <c r="AC58" s="257">
        <v>0</v>
      </c>
      <c r="AD58" s="257">
        <v>0</v>
      </c>
      <c r="AE58" s="460">
        <f t="shared" si="89"/>
        <v>0</v>
      </c>
      <c r="AF58" s="465">
        <v>0</v>
      </c>
      <c r="AG58" s="257">
        <v>0</v>
      </c>
      <c r="AH58" s="257">
        <v>0</v>
      </c>
      <c r="AI58" s="257">
        <v>0</v>
      </c>
      <c r="AJ58" s="257">
        <v>0</v>
      </c>
      <c r="AK58" s="257">
        <v>0</v>
      </c>
      <c r="AL58" s="257">
        <v>0</v>
      </c>
      <c r="AM58" s="257">
        <v>0</v>
      </c>
      <c r="AN58" s="462">
        <f t="shared" si="90"/>
        <v>0</v>
      </c>
      <c r="AO58" s="463">
        <f t="shared" si="91"/>
        <v>0</v>
      </c>
      <c r="AP58" s="343">
        <v>36</v>
      </c>
      <c r="AQ58" s="257">
        <v>7041.3699999999926</v>
      </c>
      <c r="AR58" s="257">
        <v>0</v>
      </c>
      <c r="AS58" s="257">
        <v>16630.734340570139</v>
      </c>
      <c r="AT58" s="257">
        <v>0</v>
      </c>
      <c r="AU58" s="257">
        <v>28959.360216622419</v>
      </c>
      <c r="AV58" s="257">
        <v>0</v>
      </c>
      <c r="AW58" s="257">
        <v>28643.292926158974</v>
      </c>
      <c r="AX58" s="257">
        <v>0</v>
      </c>
      <c r="AY58" s="460">
        <f t="shared" si="92"/>
        <v>81274.757483351525</v>
      </c>
      <c r="AZ58" s="465">
        <v>0</v>
      </c>
      <c r="BA58" s="257">
        <v>0</v>
      </c>
      <c r="BB58" s="257">
        <v>0</v>
      </c>
      <c r="BC58" s="257">
        <v>0</v>
      </c>
      <c r="BD58" s="257">
        <v>0</v>
      </c>
      <c r="BE58" s="257">
        <v>0</v>
      </c>
      <c r="BF58" s="257">
        <v>0</v>
      </c>
      <c r="BG58" s="257">
        <v>0</v>
      </c>
      <c r="BH58" s="462">
        <f t="shared" si="93"/>
        <v>0</v>
      </c>
      <c r="BI58" s="463">
        <f t="shared" si="94"/>
        <v>81274.757483351525</v>
      </c>
      <c r="BJ58" s="343">
        <v>36</v>
      </c>
      <c r="BK58" s="257">
        <v>0</v>
      </c>
      <c r="BL58" s="257">
        <v>0</v>
      </c>
      <c r="BM58" s="257">
        <v>0</v>
      </c>
      <c r="BN58" s="257">
        <v>0</v>
      </c>
      <c r="BO58" s="257">
        <v>0</v>
      </c>
      <c r="BP58" s="257">
        <v>0</v>
      </c>
      <c r="BQ58" s="257">
        <v>0</v>
      </c>
      <c r="BR58" s="257">
        <v>0</v>
      </c>
      <c r="BS58" s="460">
        <f t="shared" si="95"/>
        <v>0</v>
      </c>
      <c r="BT58" s="465">
        <v>0</v>
      </c>
      <c r="BU58" s="257">
        <v>0</v>
      </c>
      <c r="BV58" s="257">
        <v>0</v>
      </c>
      <c r="BW58" s="257">
        <v>0</v>
      </c>
      <c r="BX58" s="257">
        <v>0</v>
      </c>
      <c r="BY58" s="257">
        <v>0</v>
      </c>
      <c r="BZ58" s="257">
        <v>0</v>
      </c>
      <c r="CA58" s="257">
        <v>0</v>
      </c>
      <c r="CB58" s="462">
        <f t="shared" si="96"/>
        <v>0</v>
      </c>
      <c r="CC58" s="463">
        <f t="shared" si="97"/>
        <v>0</v>
      </c>
      <c r="CD58" s="343">
        <v>36</v>
      </c>
      <c r="CE58" s="462">
        <f t="shared" si="98"/>
        <v>7041.3699999999926</v>
      </c>
      <c r="CF58" s="462">
        <f t="shared" si="99"/>
        <v>16630.734340570139</v>
      </c>
      <c r="CG58" s="462">
        <f t="shared" si="100"/>
        <v>28959.360216622419</v>
      </c>
      <c r="CH58" s="462">
        <f t="shared" si="101"/>
        <v>28643.292926158974</v>
      </c>
      <c r="CI58" s="464">
        <f t="shared" si="102"/>
        <v>81274.757483351525</v>
      </c>
      <c r="CJ58" s="462">
        <f t="shared" si="103"/>
        <v>0</v>
      </c>
      <c r="CK58" s="462">
        <f t="shared" si="104"/>
        <v>0</v>
      </c>
      <c r="CL58" s="462">
        <f t="shared" si="105"/>
        <v>0</v>
      </c>
      <c r="CM58" s="462">
        <f t="shared" si="106"/>
        <v>0</v>
      </c>
      <c r="CN58" s="464">
        <f t="shared" si="107"/>
        <v>0</v>
      </c>
      <c r="CO58" s="462">
        <f t="shared" si="108"/>
        <v>7041.3699999999926</v>
      </c>
      <c r="CP58" s="462">
        <f t="shared" si="109"/>
        <v>16630.734340570139</v>
      </c>
      <c r="CQ58" s="462">
        <f t="shared" si="110"/>
        <v>28959.360216622419</v>
      </c>
      <c r="CR58" s="462">
        <f t="shared" si="111"/>
        <v>28643.292926158974</v>
      </c>
      <c r="CS58" s="464">
        <f t="shared" si="112"/>
        <v>81274.757483351525</v>
      </c>
    </row>
    <row r="59" spans="1:97" ht="15.75" customHeight="1" x14ac:dyDescent="0.25">
      <c r="A59" s="94" t="s">
        <v>341</v>
      </c>
      <c r="B59" s="343">
        <v>37</v>
      </c>
      <c r="C59" s="257">
        <v>274.99999999999972</v>
      </c>
      <c r="D59" s="257">
        <v>1952.499999999998</v>
      </c>
      <c r="E59" s="257">
        <v>1045.1089894699498</v>
      </c>
      <c r="F59" s="257">
        <v>2764.0382484665779</v>
      </c>
      <c r="G59" s="257">
        <v>495.67369665380699</v>
      </c>
      <c r="H59" s="257">
        <v>2470.6580035433094</v>
      </c>
      <c r="I59" s="257">
        <v>953.91007775786693</v>
      </c>
      <c r="J59" s="257">
        <v>1820.0956187206098</v>
      </c>
      <c r="K59" s="460">
        <f t="shared" si="86"/>
        <v>11776.984634612119</v>
      </c>
      <c r="L59" s="465">
        <v>0</v>
      </c>
      <c r="M59" s="257">
        <v>0</v>
      </c>
      <c r="N59" s="257">
        <v>0</v>
      </c>
      <c r="O59" s="257">
        <v>0</v>
      </c>
      <c r="P59" s="257">
        <v>0</v>
      </c>
      <c r="Q59" s="257">
        <v>50.864968041447618</v>
      </c>
      <c r="R59" s="257">
        <v>0</v>
      </c>
      <c r="S59" s="257">
        <v>152.48598464057196</v>
      </c>
      <c r="T59" s="462">
        <f t="shared" si="87"/>
        <v>203.35095268201957</v>
      </c>
      <c r="U59" s="463">
        <f t="shared" si="88"/>
        <v>11980.335587294139</v>
      </c>
      <c r="V59" s="343">
        <v>37</v>
      </c>
      <c r="W59" s="257">
        <v>0</v>
      </c>
      <c r="X59" s="257">
        <v>494.99999999999949</v>
      </c>
      <c r="Y59" s="257">
        <v>0</v>
      </c>
      <c r="Z59" s="257">
        <v>247.52581329551444</v>
      </c>
      <c r="AA59" s="257">
        <v>0</v>
      </c>
      <c r="AB59" s="257">
        <v>1129.0345312670047</v>
      </c>
      <c r="AC59" s="257">
        <v>281.52286879810566</v>
      </c>
      <c r="AD59" s="257">
        <v>317.97002591928896</v>
      </c>
      <c r="AE59" s="460">
        <f t="shared" si="89"/>
        <v>2471.0532392799132</v>
      </c>
      <c r="AF59" s="465">
        <v>0</v>
      </c>
      <c r="AG59" s="257">
        <v>0</v>
      </c>
      <c r="AH59" s="257">
        <v>0</v>
      </c>
      <c r="AI59" s="257">
        <v>0</v>
      </c>
      <c r="AJ59" s="257">
        <v>0</v>
      </c>
      <c r="AK59" s="257">
        <v>0</v>
      </c>
      <c r="AL59" s="257">
        <v>0</v>
      </c>
      <c r="AM59" s="257">
        <v>0</v>
      </c>
      <c r="AN59" s="462">
        <f t="shared" si="90"/>
        <v>0</v>
      </c>
      <c r="AO59" s="463">
        <f t="shared" si="91"/>
        <v>2471.0532392799132</v>
      </c>
      <c r="AP59" s="343">
        <v>37</v>
      </c>
      <c r="AQ59" s="257">
        <v>2598.7499999999973</v>
      </c>
      <c r="AR59" s="257">
        <v>11439.999999999989</v>
      </c>
      <c r="AS59" s="257">
        <v>3864.1529742244197</v>
      </c>
      <c r="AT59" s="257">
        <v>12087.310528405058</v>
      </c>
      <c r="AU59" s="257">
        <v>3841.4711490670043</v>
      </c>
      <c r="AV59" s="257">
        <v>12908.795034319979</v>
      </c>
      <c r="AW59" s="257">
        <v>4134.7163196496067</v>
      </c>
      <c r="AX59" s="257">
        <v>15804.24140685794</v>
      </c>
      <c r="AY59" s="460">
        <f t="shared" si="92"/>
        <v>66679.437412523985</v>
      </c>
      <c r="AZ59" s="465">
        <v>0</v>
      </c>
      <c r="BA59" s="257">
        <v>160</v>
      </c>
      <c r="BB59" s="257">
        <v>0</v>
      </c>
      <c r="BC59" s="257">
        <v>0</v>
      </c>
      <c r="BD59" s="257">
        <v>0</v>
      </c>
      <c r="BE59" s="257">
        <v>94.999430550294932</v>
      </c>
      <c r="BF59" s="257">
        <v>0</v>
      </c>
      <c r="BG59" s="257">
        <v>853.12070790343171</v>
      </c>
      <c r="BH59" s="462">
        <f t="shared" si="93"/>
        <v>1108.1201384537267</v>
      </c>
      <c r="BI59" s="463">
        <f t="shared" si="94"/>
        <v>67787.557550977712</v>
      </c>
      <c r="BJ59" s="343">
        <v>37</v>
      </c>
      <c r="BK59" s="257">
        <v>0</v>
      </c>
      <c r="BL59" s="257">
        <v>0</v>
      </c>
      <c r="BM59" s="257">
        <v>0</v>
      </c>
      <c r="BN59" s="257">
        <v>0</v>
      </c>
      <c r="BO59" s="257">
        <v>0</v>
      </c>
      <c r="BP59" s="257">
        <v>0</v>
      </c>
      <c r="BQ59" s="257">
        <v>0</v>
      </c>
      <c r="BR59" s="257">
        <v>0</v>
      </c>
      <c r="BS59" s="460">
        <f t="shared" si="95"/>
        <v>0</v>
      </c>
      <c r="BT59" s="465">
        <v>0</v>
      </c>
      <c r="BU59" s="257">
        <v>0</v>
      </c>
      <c r="BV59" s="257">
        <v>0</v>
      </c>
      <c r="BW59" s="257">
        <v>0</v>
      </c>
      <c r="BX59" s="257">
        <v>0</v>
      </c>
      <c r="BY59" s="257">
        <v>0</v>
      </c>
      <c r="BZ59" s="257">
        <v>0</v>
      </c>
      <c r="CA59" s="257">
        <v>0</v>
      </c>
      <c r="CB59" s="462">
        <f t="shared" si="96"/>
        <v>0</v>
      </c>
      <c r="CC59" s="463">
        <f t="shared" si="97"/>
        <v>0</v>
      </c>
      <c r="CD59" s="343">
        <v>37</v>
      </c>
      <c r="CE59" s="462">
        <f t="shared" si="98"/>
        <v>16761.249999999985</v>
      </c>
      <c r="CF59" s="462">
        <f t="shared" si="99"/>
        <v>20008.136553861521</v>
      </c>
      <c r="CG59" s="462">
        <f t="shared" si="100"/>
        <v>20845.632414851105</v>
      </c>
      <c r="CH59" s="462">
        <f t="shared" si="101"/>
        <v>23312.456317703418</v>
      </c>
      <c r="CI59" s="464">
        <f t="shared" si="102"/>
        <v>80927.475286416011</v>
      </c>
      <c r="CJ59" s="462">
        <f t="shared" si="103"/>
        <v>160</v>
      </c>
      <c r="CK59" s="462">
        <f t="shared" si="104"/>
        <v>0</v>
      </c>
      <c r="CL59" s="462">
        <f t="shared" si="105"/>
        <v>145.86439859174254</v>
      </c>
      <c r="CM59" s="462">
        <f t="shared" si="106"/>
        <v>1005.6066925440036</v>
      </c>
      <c r="CN59" s="464">
        <f t="shared" si="107"/>
        <v>1311.4710911357463</v>
      </c>
      <c r="CO59" s="462">
        <f t="shared" si="108"/>
        <v>16921.249999999985</v>
      </c>
      <c r="CP59" s="462">
        <f t="shared" si="109"/>
        <v>20008.136553861521</v>
      </c>
      <c r="CQ59" s="462">
        <f t="shared" si="110"/>
        <v>20991.496813442845</v>
      </c>
      <c r="CR59" s="462">
        <f t="shared" si="111"/>
        <v>24318.063010247421</v>
      </c>
      <c r="CS59" s="464">
        <f t="shared" si="112"/>
        <v>82238.946377551765</v>
      </c>
    </row>
    <row r="60" spans="1:97" ht="15.75" customHeight="1" x14ac:dyDescent="0.25">
      <c r="A60" s="724" t="s">
        <v>1508</v>
      </c>
      <c r="B60" s="725">
        <v>38</v>
      </c>
      <c r="C60" s="468">
        <v>8346.9611519477257</v>
      </c>
      <c r="D60" s="468">
        <v>72726.763370211193</v>
      </c>
      <c r="E60" s="468">
        <v>17403.660323499778</v>
      </c>
      <c r="F60" s="468">
        <v>110300.53165026971</v>
      </c>
      <c r="G60" s="468">
        <v>19387.410924207379</v>
      </c>
      <c r="H60" s="468">
        <v>103888.71590860128</v>
      </c>
      <c r="I60" s="468">
        <v>16323.111337912791</v>
      </c>
      <c r="J60" s="468">
        <v>95089.823124161761</v>
      </c>
      <c r="K60" s="460">
        <f>SUM(C60:J60)</f>
        <v>443466.97779081162</v>
      </c>
      <c r="L60" s="469">
        <v>0</v>
      </c>
      <c r="M60" s="468">
        <v>0</v>
      </c>
      <c r="N60" s="468">
        <v>0</v>
      </c>
      <c r="O60" s="468">
        <v>0</v>
      </c>
      <c r="P60" s="468">
        <v>0</v>
      </c>
      <c r="Q60" s="468">
        <v>0</v>
      </c>
      <c r="R60" s="468">
        <v>0</v>
      </c>
      <c r="S60" s="468">
        <v>0</v>
      </c>
      <c r="T60" s="462">
        <f>SUM(L60:S60)</f>
        <v>0</v>
      </c>
      <c r="U60" s="463">
        <f>SUM(T60,K60)</f>
        <v>443466.97779081162</v>
      </c>
      <c r="V60" s="725">
        <v>38</v>
      </c>
      <c r="W60" s="468">
        <v>463.72006399709585</v>
      </c>
      <c r="X60" s="468">
        <v>24056.833216506366</v>
      </c>
      <c r="Y60" s="468">
        <v>464.0976086266607</v>
      </c>
      <c r="Z60" s="468">
        <v>18617.24708998311</v>
      </c>
      <c r="AA60" s="468">
        <v>463.44408583762663</v>
      </c>
      <c r="AB60" s="468">
        <v>19201.329862945946</v>
      </c>
      <c r="AC60" s="468">
        <v>692.96227377931655</v>
      </c>
      <c r="AD60" s="468">
        <v>21250.843062565706</v>
      </c>
      <c r="AE60" s="460">
        <f>SUM(W60:AD60)</f>
        <v>85210.477264241825</v>
      </c>
      <c r="AF60" s="469">
        <v>0</v>
      </c>
      <c r="AG60" s="468">
        <v>0</v>
      </c>
      <c r="AH60" s="468">
        <v>0</v>
      </c>
      <c r="AI60" s="468">
        <v>0</v>
      </c>
      <c r="AJ60" s="468">
        <v>0</v>
      </c>
      <c r="AK60" s="468">
        <v>0</v>
      </c>
      <c r="AL60" s="468">
        <v>0</v>
      </c>
      <c r="AM60" s="468">
        <v>0</v>
      </c>
      <c r="AN60" s="462">
        <f>SUM(AF60:AM60)</f>
        <v>0</v>
      </c>
      <c r="AO60" s="463">
        <f>SUM(AN60,AE60)</f>
        <v>85210.477264241825</v>
      </c>
      <c r="AP60" s="725">
        <v>38</v>
      </c>
      <c r="AQ60" s="468">
        <v>36418.824143938022</v>
      </c>
      <c r="AR60" s="468">
        <v>274133.35348147096</v>
      </c>
      <c r="AS60" s="468">
        <v>31798.449335148442</v>
      </c>
      <c r="AT60" s="468">
        <v>250618.18595929912</v>
      </c>
      <c r="AU60" s="468">
        <v>36380.360738253687</v>
      </c>
      <c r="AV60" s="468">
        <v>261875.09943046767</v>
      </c>
      <c r="AW60" s="468">
        <v>42228.254363413755</v>
      </c>
      <c r="AX60" s="468">
        <v>277366.31146558042</v>
      </c>
      <c r="AY60" s="460">
        <f>SUM(AQ60:AX60)</f>
        <v>1210818.8389175721</v>
      </c>
      <c r="AZ60" s="469">
        <v>0</v>
      </c>
      <c r="BA60" s="468">
        <v>0</v>
      </c>
      <c r="BB60" s="468">
        <v>0</v>
      </c>
      <c r="BC60" s="468">
        <v>0</v>
      </c>
      <c r="BD60" s="468">
        <v>0</v>
      </c>
      <c r="BE60" s="468">
        <v>0</v>
      </c>
      <c r="BF60" s="468">
        <v>0</v>
      </c>
      <c r="BG60" s="468">
        <v>0</v>
      </c>
      <c r="BH60" s="462">
        <f>SUM(AZ60:BG60)</f>
        <v>0</v>
      </c>
      <c r="BI60" s="463">
        <f>SUM(BH60,AY60)</f>
        <v>1210818.8389175721</v>
      </c>
      <c r="BJ60" s="725">
        <v>38</v>
      </c>
      <c r="BK60" s="468">
        <v>231.86003199854792</v>
      </c>
      <c r="BL60" s="468">
        <v>12022.798839488021</v>
      </c>
      <c r="BM60" s="468">
        <v>0</v>
      </c>
      <c r="BN60" s="468">
        <v>11024.441337828446</v>
      </c>
      <c r="BO60" s="468">
        <v>77.240680972937767</v>
      </c>
      <c r="BP60" s="468">
        <v>11637.841283330881</v>
      </c>
      <c r="BQ60" s="468">
        <v>307.98323279080739</v>
      </c>
      <c r="BR60" s="468">
        <v>12943.44497636736</v>
      </c>
      <c r="BS60" s="460">
        <f>SUM(BK60:BR60)</f>
        <v>48245.610382777006</v>
      </c>
      <c r="BT60" s="469">
        <v>0</v>
      </c>
      <c r="BU60" s="468">
        <v>0</v>
      </c>
      <c r="BV60" s="468">
        <v>0</v>
      </c>
      <c r="BW60" s="468">
        <v>0</v>
      </c>
      <c r="BX60" s="468">
        <v>0</v>
      </c>
      <c r="BY60" s="468">
        <v>0</v>
      </c>
      <c r="BZ60" s="468">
        <v>0</v>
      </c>
      <c r="CA60" s="468">
        <v>0</v>
      </c>
      <c r="CB60" s="462">
        <f>SUM(BT60:CA60)</f>
        <v>0</v>
      </c>
      <c r="CC60" s="463">
        <f>SUM(CB60,BS60)</f>
        <v>48245.610382777006</v>
      </c>
      <c r="CD60" s="725">
        <v>38</v>
      </c>
      <c r="CE60" s="462">
        <f t="shared" si="98"/>
        <v>428401.11429955787</v>
      </c>
      <c r="CF60" s="462">
        <f t="shared" si="99"/>
        <v>440226.61330465524</v>
      </c>
      <c r="CG60" s="462">
        <f t="shared" si="100"/>
        <v>452911.44291461742</v>
      </c>
      <c r="CH60" s="462">
        <f t="shared" si="101"/>
        <v>466202.73383657192</v>
      </c>
      <c r="CI60" s="464">
        <f t="shared" si="102"/>
        <v>1787741.9043554023</v>
      </c>
      <c r="CJ60" s="462">
        <f t="shared" si="103"/>
        <v>0</v>
      </c>
      <c r="CK60" s="462">
        <f t="shared" si="104"/>
        <v>0</v>
      </c>
      <c r="CL60" s="462">
        <f t="shared" si="105"/>
        <v>0</v>
      </c>
      <c r="CM60" s="462">
        <f t="shared" si="106"/>
        <v>0</v>
      </c>
      <c r="CN60" s="464">
        <f t="shared" si="107"/>
        <v>0</v>
      </c>
      <c r="CO60" s="462">
        <f t="shared" si="108"/>
        <v>428401.11429955787</v>
      </c>
      <c r="CP60" s="462">
        <f t="shared" si="109"/>
        <v>440226.61330465524</v>
      </c>
      <c r="CQ60" s="462">
        <f t="shared" si="110"/>
        <v>452911.44291461742</v>
      </c>
      <c r="CR60" s="462">
        <f t="shared" si="111"/>
        <v>466202.73383657192</v>
      </c>
      <c r="CS60" s="464">
        <f t="shared" si="112"/>
        <v>1787741.9043554023</v>
      </c>
    </row>
    <row r="61" spans="1:97" ht="15.75" customHeight="1" x14ac:dyDescent="0.25">
      <c r="A61" s="94" t="s">
        <v>286</v>
      </c>
      <c r="B61" s="725">
        <v>39</v>
      </c>
      <c r="C61" s="257">
        <v>2838.73</v>
      </c>
      <c r="D61" s="257">
        <v>24703.759999999998</v>
      </c>
      <c r="E61" s="257">
        <v>6255.39</v>
      </c>
      <c r="F61" s="257">
        <v>39378.9</v>
      </c>
      <c r="G61" s="257">
        <v>7075.45</v>
      </c>
      <c r="H61" s="257">
        <v>37699.15</v>
      </c>
      <c r="I61" s="257">
        <v>4650.13</v>
      </c>
      <c r="J61" s="257">
        <v>26848.09</v>
      </c>
      <c r="K61" s="460">
        <f t="shared" si="86"/>
        <v>149449.60000000001</v>
      </c>
      <c r="L61" s="465">
        <v>0</v>
      </c>
      <c r="M61" s="257">
        <v>128638.03</v>
      </c>
      <c r="N61" s="257">
        <v>0</v>
      </c>
      <c r="O61" s="257">
        <v>208322.19</v>
      </c>
      <c r="P61" s="257">
        <v>0</v>
      </c>
      <c r="Q61" s="257">
        <v>195987.99</v>
      </c>
      <c r="R61" s="257">
        <v>0</v>
      </c>
      <c r="S61" s="257">
        <v>183243.2</v>
      </c>
      <c r="T61" s="462">
        <f t="shared" si="87"/>
        <v>716191.40999999992</v>
      </c>
      <c r="U61" s="463">
        <f t="shared" si="88"/>
        <v>865641.00999999989</v>
      </c>
      <c r="V61" s="725">
        <v>39</v>
      </c>
      <c r="W61" s="257">
        <v>157.93</v>
      </c>
      <c r="X61" s="257">
        <v>8168.17</v>
      </c>
      <c r="Y61" s="257">
        <v>164.65</v>
      </c>
      <c r="Z61" s="257">
        <v>6625.94</v>
      </c>
      <c r="AA61" s="257">
        <v>167.13</v>
      </c>
      <c r="AB61" s="257">
        <v>6942.35</v>
      </c>
      <c r="AC61" s="257">
        <v>196.27</v>
      </c>
      <c r="AD61" s="257">
        <v>5980.6</v>
      </c>
      <c r="AE61" s="460">
        <f t="shared" si="89"/>
        <v>28403.040000000001</v>
      </c>
      <c r="AF61" s="465">
        <v>0</v>
      </c>
      <c r="AG61" s="257">
        <v>42565.96</v>
      </c>
      <c r="AH61" s="257">
        <v>0</v>
      </c>
      <c r="AI61" s="257">
        <v>35139.879999999997</v>
      </c>
      <c r="AJ61" s="257">
        <v>0</v>
      </c>
      <c r="AK61" s="257">
        <v>36194.58</v>
      </c>
      <c r="AL61" s="257">
        <v>0</v>
      </c>
      <c r="AM61" s="257">
        <v>40933</v>
      </c>
      <c r="AN61" s="462">
        <f t="shared" si="90"/>
        <v>154833.41999999998</v>
      </c>
      <c r="AO61" s="463">
        <f t="shared" si="91"/>
        <v>183236.46</v>
      </c>
      <c r="AP61" s="725">
        <v>39</v>
      </c>
      <c r="AQ61" s="257">
        <v>12772.64</v>
      </c>
      <c r="AR61" s="257">
        <v>94055.57</v>
      </c>
      <c r="AS61" s="257">
        <v>11660.3</v>
      </c>
      <c r="AT61" s="257">
        <v>90097.13</v>
      </c>
      <c r="AU61" s="257">
        <v>13519.42</v>
      </c>
      <c r="AV61" s="257">
        <v>95683.89</v>
      </c>
      <c r="AW61" s="257">
        <v>12314.54</v>
      </c>
      <c r="AX61" s="257">
        <v>79003.649999999994</v>
      </c>
      <c r="AY61" s="460">
        <f t="shared" si="92"/>
        <v>409107.14</v>
      </c>
      <c r="AZ61" s="465">
        <v>0</v>
      </c>
      <c r="BA61" s="257">
        <v>485482.35</v>
      </c>
      <c r="BB61" s="257">
        <v>0</v>
      </c>
      <c r="BC61" s="257">
        <v>473576.5</v>
      </c>
      <c r="BD61" s="257">
        <v>0</v>
      </c>
      <c r="BE61" s="257">
        <v>494264.12</v>
      </c>
      <c r="BF61" s="257">
        <v>0</v>
      </c>
      <c r="BG61" s="257">
        <v>534745.31000000006</v>
      </c>
      <c r="BH61" s="462">
        <f t="shared" si="93"/>
        <v>1988068.28</v>
      </c>
      <c r="BI61" s="463">
        <f t="shared" si="94"/>
        <v>2397175.42</v>
      </c>
      <c r="BJ61" s="725">
        <v>39</v>
      </c>
      <c r="BK61" s="257">
        <v>83.46</v>
      </c>
      <c r="BL61" s="257">
        <v>4281.68</v>
      </c>
      <c r="BM61" s="257">
        <v>0</v>
      </c>
      <c r="BN61" s="257">
        <v>4083.2</v>
      </c>
      <c r="BO61" s="257">
        <v>29.85</v>
      </c>
      <c r="BP61" s="257">
        <v>4395.82</v>
      </c>
      <c r="BQ61" s="257">
        <v>93.34</v>
      </c>
      <c r="BR61" s="257">
        <v>3845.65</v>
      </c>
      <c r="BS61" s="460">
        <f t="shared" si="95"/>
        <v>16813</v>
      </c>
      <c r="BT61" s="465">
        <v>0</v>
      </c>
      <c r="BU61" s="257">
        <v>21306.05</v>
      </c>
      <c r="BV61" s="257">
        <v>0</v>
      </c>
      <c r="BW61" s="257">
        <v>20863.13</v>
      </c>
      <c r="BX61" s="257">
        <v>0</v>
      </c>
      <c r="BY61" s="257">
        <v>21969.65</v>
      </c>
      <c r="BZ61" s="257">
        <v>0</v>
      </c>
      <c r="CA61" s="257">
        <v>24984.73</v>
      </c>
      <c r="CB61" s="462">
        <f t="shared" si="96"/>
        <v>89123.56</v>
      </c>
      <c r="CC61" s="463">
        <f t="shared" si="97"/>
        <v>105936.56</v>
      </c>
      <c r="CD61" s="725">
        <v>39</v>
      </c>
      <c r="CE61" s="462">
        <f t="shared" si="98"/>
        <v>147061.93999999997</v>
      </c>
      <c r="CF61" s="462">
        <f t="shared" si="99"/>
        <v>158265.51</v>
      </c>
      <c r="CG61" s="462">
        <f t="shared" si="100"/>
        <v>165513.06</v>
      </c>
      <c r="CH61" s="462">
        <f t="shared" si="101"/>
        <v>132932.26999999999</v>
      </c>
      <c r="CI61" s="464">
        <f t="shared" si="102"/>
        <v>603772.78</v>
      </c>
      <c r="CJ61" s="462">
        <f t="shared" si="103"/>
        <v>677992.39</v>
      </c>
      <c r="CK61" s="462">
        <f t="shared" si="104"/>
        <v>737901.70000000007</v>
      </c>
      <c r="CL61" s="462">
        <f t="shared" si="105"/>
        <v>748416.34</v>
      </c>
      <c r="CM61" s="462">
        <f t="shared" si="106"/>
        <v>783906.24</v>
      </c>
      <c r="CN61" s="464">
        <f t="shared" si="107"/>
        <v>2948216.67</v>
      </c>
      <c r="CO61" s="462">
        <f t="shared" si="108"/>
        <v>825054.33</v>
      </c>
      <c r="CP61" s="462">
        <f t="shared" si="109"/>
        <v>896167.21</v>
      </c>
      <c r="CQ61" s="462">
        <f t="shared" si="110"/>
        <v>913929.4</v>
      </c>
      <c r="CR61" s="462">
        <f t="shared" si="111"/>
        <v>916838.51</v>
      </c>
      <c r="CS61" s="464">
        <f t="shared" si="112"/>
        <v>3551989.4499999997</v>
      </c>
    </row>
    <row r="62" spans="1:97" ht="15.75" customHeight="1" x14ac:dyDescent="0.25">
      <c r="A62" s="94" t="s">
        <v>317</v>
      </c>
      <c r="B62" s="725">
        <v>40</v>
      </c>
      <c r="C62" s="257"/>
      <c r="D62" s="257"/>
      <c r="E62" s="257"/>
      <c r="F62" s="257"/>
      <c r="G62" s="257"/>
      <c r="H62" s="257"/>
      <c r="I62" s="257"/>
      <c r="J62" s="257"/>
      <c r="K62" s="460">
        <f t="shared" si="86"/>
        <v>0</v>
      </c>
      <c r="L62" s="465"/>
      <c r="M62" s="257"/>
      <c r="N62" s="257"/>
      <c r="O62" s="257"/>
      <c r="P62" s="257"/>
      <c r="Q62" s="257"/>
      <c r="R62" s="257"/>
      <c r="S62" s="257"/>
      <c r="T62" s="462">
        <f t="shared" si="87"/>
        <v>0</v>
      </c>
      <c r="U62" s="463">
        <f t="shared" si="88"/>
        <v>0</v>
      </c>
      <c r="V62" s="725">
        <v>40</v>
      </c>
      <c r="W62" s="257"/>
      <c r="X62" s="257"/>
      <c r="Y62" s="257"/>
      <c r="Z62" s="257"/>
      <c r="AA62" s="257"/>
      <c r="AB62" s="257"/>
      <c r="AC62" s="257"/>
      <c r="AD62" s="257"/>
      <c r="AE62" s="460">
        <f t="shared" si="89"/>
        <v>0</v>
      </c>
      <c r="AF62" s="465"/>
      <c r="AG62" s="257"/>
      <c r="AH62" s="257"/>
      <c r="AI62" s="257"/>
      <c r="AJ62" s="257"/>
      <c r="AK62" s="257"/>
      <c r="AL62" s="257"/>
      <c r="AM62" s="257"/>
      <c r="AN62" s="462">
        <f t="shared" si="90"/>
        <v>0</v>
      </c>
      <c r="AO62" s="463">
        <f t="shared" si="91"/>
        <v>0</v>
      </c>
      <c r="AP62" s="725">
        <v>40</v>
      </c>
      <c r="AQ62" s="257"/>
      <c r="AR62" s="257"/>
      <c r="AS62" s="257"/>
      <c r="AT62" s="257"/>
      <c r="AU62" s="257"/>
      <c r="AV62" s="257"/>
      <c r="AW62" s="257"/>
      <c r="AX62" s="257"/>
      <c r="AY62" s="460">
        <f t="shared" si="92"/>
        <v>0</v>
      </c>
      <c r="AZ62" s="465"/>
      <c r="BA62" s="257"/>
      <c r="BB62" s="257"/>
      <c r="BC62" s="257"/>
      <c r="BD62" s="257"/>
      <c r="BE62" s="257"/>
      <c r="BF62" s="257"/>
      <c r="BG62" s="257"/>
      <c r="BH62" s="462">
        <f t="shared" si="93"/>
        <v>0</v>
      </c>
      <c r="BI62" s="463">
        <f t="shared" si="94"/>
        <v>0</v>
      </c>
      <c r="BJ62" s="725">
        <v>40</v>
      </c>
      <c r="BK62" s="257"/>
      <c r="BL62" s="257"/>
      <c r="BM62" s="257"/>
      <c r="BN62" s="257"/>
      <c r="BO62" s="257"/>
      <c r="BP62" s="257"/>
      <c r="BQ62" s="257"/>
      <c r="BR62" s="257"/>
      <c r="BS62" s="460">
        <f t="shared" si="95"/>
        <v>0</v>
      </c>
      <c r="BT62" s="465"/>
      <c r="BU62" s="257"/>
      <c r="BV62" s="257"/>
      <c r="BW62" s="257"/>
      <c r="BX62" s="257"/>
      <c r="BY62" s="257"/>
      <c r="BZ62" s="257"/>
      <c r="CA62" s="257"/>
      <c r="CB62" s="462">
        <f t="shared" si="96"/>
        <v>0</v>
      </c>
      <c r="CC62" s="463">
        <f t="shared" si="97"/>
        <v>0</v>
      </c>
      <c r="CD62" s="725">
        <v>40</v>
      </c>
      <c r="CE62" s="462">
        <f t="shared" si="98"/>
        <v>0</v>
      </c>
      <c r="CF62" s="462">
        <f t="shared" si="99"/>
        <v>0</v>
      </c>
      <c r="CG62" s="462">
        <f t="shared" si="100"/>
        <v>0</v>
      </c>
      <c r="CH62" s="462">
        <f t="shared" si="101"/>
        <v>0</v>
      </c>
      <c r="CI62" s="464">
        <f t="shared" si="102"/>
        <v>0</v>
      </c>
      <c r="CJ62" s="462">
        <f t="shared" si="103"/>
        <v>0</v>
      </c>
      <c r="CK62" s="462">
        <f t="shared" si="104"/>
        <v>0</v>
      </c>
      <c r="CL62" s="462">
        <f t="shared" si="105"/>
        <v>0</v>
      </c>
      <c r="CM62" s="462">
        <f t="shared" si="106"/>
        <v>0</v>
      </c>
      <c r="CN62" s="464">
        <f t="shared" si="107"/>
        <v>0</v>
      </c>
      <c r="CO62" s="462">
        <f t="shared" si="108"/>
        <v>0</v>
      </c>
      <c r="CP62" s="462">
        <f t="shared" si="109"/>
        <v>0</v>
      </c>
      <c r="CQ62" s="462">
        <f t="shared" si="110"/>
        <v>0</v>
      </c>
      <c r="CR62" s="462">
        <f t="shared" si="111"/>
        <v>0</v>
      </c>
      <c r="CS62" s="464">
        <f t="shared" si="112"/>
        <v>0</v>
      </c>
    </row>
    <row r="63" spans="1:97" ht="15.75" customHeight="1" x14ac:dyDescent="0.25">
      <c r="A63" s="94" t="s">
        <v>242</v>
      </c>
      <c r="B63" s="725">
        <v>41</v>
      </c>
      <c r="C63" s="257"/>
      <c r="D63" s="257"/>
      <c r="E63" s="257"/>
      <c r="F63" s="257"/>
      <c r="G63" s="257"/>
      <c r="H63" s="257"/>
      <c r="I63" s="257"/>
      <c r="J63" s="257"/>
      <c r="K63" s="460">
        <f t="shared" si="86"/>
        <v>0</v>
      </c>
      <c r="L63" s="465"/>
      <c r="M63" s="257"/>
      <c r="N63" s="257"/>
      <c r="O63" s="257"/>
      <c r="P63" s="257"/>
      <c r="Q63" s="257"/>
      <c r="R63" s="257"/>
      <c r="S63" s="257"/>
      <c r="T63" s="462">
        <f t="shared" si="87"/>
        <v>0</v>
      </c>
      <c r="U63" s="463">
        <f t="shared" si="88"/>
        <v>0</v>
      </c>
      <c r="V63" s="725">
        <v>41</v>
      </c>
      <c r="W63" s="257"/>
      <c r="X63" s="257"/>
      <c r="Y63" s="257"/>
      <c r="Z63" s="257"/>
      <c r="AA63" s="257"/>
      <c r="AB63" s="257"/>
      <c r="AC63" s="257"/>
      <c r="AD63" s="257"/>
      <c r="AE63" s="460">
        <f t="shared" si="89"/>
        <v>0</v>
      </c>
      <c r="AF63" s="465"/>
      <c r="AG63" s="257"/>
      <c r="AH63" s="257"/>
      <c r="AI63" s="257"/>
      <c r="AJ63" s="257"/>
      <c r="AK63" s="257"/>
      <c r="AL63" s="257"/>
      <c r="AM63" s="257"/>
      <c r="AN63" s="462">
        <f t="shared" si="90"/>
        <v>0</v>
      </c>
      <c r="AO63" s="463">
        <f t="shared" si="91"/>
        <v>0</v>
      </c>
      <c r="AP63" s="725">
        <v>41</v>
      </c>
      <c r="AQ63" s="257"/>
      <c r="AR63" s="257"/>
      <c r="AS63" s="257"/>
      <c r="AT63" s="257"/>
      <c r="AU63" s="257"/>
      <c r="AV63" s="257"/>
      <c r="AW63" s="257"/>
      <c r="AX63" s="257"/>
      <c r="AY63" s="460">
        <f t="shared" si="92"/>
        <v>0</v>
      </c>
      <c r="AZ63" s="465"/>
      <c r="BA63" s="257"/>
      <c r="BB63" s="257"/>
      <c r="BC63" s="257"/>
      <c r="BD63" s="257"/>
      <c r="BE63" s="257"/>
      <c r="BF63" s="257"/>
      <c r="BG63" s="257"/>
      <c r="BH63" s="462">
        <f t="shared" si="93"/>
        <v>0</v>
      </c>
      <c r="BI63" s="463">
        <f t="shared" si="94"/>
        <v>0</v>
      </c>
      <c r="BJ63" s="725">
        <v>41</v>
      </c>
      <c r="BK63" s="257"/>
      <c r="BL63" s="257"/>
      <c r="BM63" s="257"/>
      <c r="BN63" s="257"/>
      <c r="BO63" s="257"/>
      <c r="BP63" s="257"/>
      <c r="BQ63" s="257"/>
      <c r="BR63" s="257"/>
      <c r="BS63" s="460">
        <f t="shared" si="95"/>
        <v>0</v>
      </c>
      <c r="BT63" s="465"/>
      <c r="BU63" s="257"/>
      <c r="BV63" s="257"/>
      <c r="BW63" s="257"/>
      <c r="BX63" s="257"/>
      <c r="BY63" s="257"/>
      <c r="BZ63" s="257"/>
      <c r="CA63" s="257"/>
      <c r="CB63" s="462">
        <f t="shared" si="96"/>
        <v>0</v>
      </c>
      <c r="CC63" s="463">
        <f t="shared" si="97"/>
        <v>0</v>
      </c>
      <c r="CD63" s="725">
        <v>41</v>
      </c>
      <c r="CE63" s="462">
        <f t="shared" si="98"/>
        <v>0</v>
      </c>
      <c r="CF63" s="462">
        <f t="shared" si="99"/>
        <v>0</v>
      </c>
      <c r="CG63" s="462">
        <f t="shared" si="100"/>
        <v>0</v>
      </c>
      <c r="CH63" s="462">
        <f t="shared" si="101"/>
        <v>0</v>
      </c>
      <c r="CI63" s="464">
        <f t="shared" si="102"/>
        <v>0</v>
      </c>
      <c r="CJ63" s="462">
        <f t="shared" si="103"/>
        <v>0</v>
      </c>
      <c r="CK63" s="462">
        <f t="shared" si="104"/>
        <v>0</v>
      </c>
      <c r="CL63" s="462">
        <f t="shared" si="105"/>
        <v>0</v>
      </c>
      <c r="CM63" s="462">
        <f t="shared" si="106"/>
        <v>0</v>
      </c>
      <c r="CN63" s="464">
        <f t="shared" si="107"/>
        <v>0</v>
      </c>
      <c r="CO63" s="462">
        <f t="shared" si="108"/>
        <v>0</v>
      </c>
      <c r="CP63" s="462">
        <f t="shared" si="109"/>
        <v>0</v>
      </c>
      <c r="CQ63" s="462">
        <f t="shared" si="110"/>
        <v>0</v>
      </c>
      <c r="CR63" s="462">
        <f t="shared" si="111"/>
        <v>0</v>
      </c>
      <c r="CS63" s="464">
        <f t="shared" si="112"/>
        <v>0</v>
      </c>
    </row>
    <row r="64" spans="1:97" ht="15.75" customHeight="1" x14ac:dyDescent="0.25">
      <c r="A64" s="724" t="s">
        <v>1447</v>
      </c>
      <c r="B64" s="725">
        <v>42</v>
      </c>
      <c r="C64" s="257"/>
      <c r="D64" s="257"/>
      <c r="E64" s="257"/>
      <c r="F64" s="257"/>
      <c r="G64" s="257"/>
      <c r="H64" s="257"/>
      <c r="I64" s="257"/>
      <c r="J64" s="257"/>
      <c r="K64" s="460">
        <f t="shared" si="86"/>
        <v>0</v>
      </c>
      <c r="L64" s="465"/>
      <c r="M64" s="257"/>
      <c r="N64" s="257"/>
      <c r="O64" s="257"/>
      <c r="P64" s="257"/>
      <c r="Q64" s="257"/>
      <c r="R64" s="257"/>
      <c r="S64" s="257"/>
      <c r="T64" s="462">
        <f t="shared" si="87"/>
        <v>0</v>
      </c>
      <c r="U64" s="463">
        <f t="shared" si="88"/>
        <v>0</v>
      </c>
      <c r="V64" s="725">
        <v>42</v>
      </c>
      <c r="W64" s="257"/>
      <c r="X64" s="257"/>
      <c r="Y64" s="257"/>
      <c r="Z64" s="257"/>
      <c r="AA64" s="257"/>
      <c r="AB64" s="257"/>
      <c r="AC64" s="257"/>
      <c r="AD64" s="257"/>
      <c r="AE64" s="460">
        <f t="shared" si="89"/>
        <v>0</v>
      </c>
      <c r="AF64" s="465"/>
      <c r="AG64" s="257"/>
      <c r="AH64" s="257"/>
      <c r="AI64" s="257"/>
      <c r="AJ64" s="257"/>
      <c r="AK64" s="257"/>
      <c r="AL64" s="257"/>
      <c r="AM64" s="257"/>
      <c r="AN64" s="462">
        <f t="shared" si="90"/>
        <v>0</v>
      </c>
      <c r="AO64" s="463">
        <f t="shared" si="91"/>
        <v>0</v>
      </c>
      <c r="AP64" s="725">
        <v>42</v>
      </c>
      <c r="AQ64" s="257"/>
      <c r="AR64" s="257"/>
      <c r="AS64" s="257"/>
      <c r="AT64" s="257"/>
      <c r="AU64" s="257"/>
      <c r="AV64" s="257"/>
      <c r="AW64" s="257"/>
      <c r="AX64" s="257"/>
      <c r="AY64" s="460">
        <f t="shared" si="92"/>
        <v>0</v>
      </c>
      <c r="AZ64" s="465"/>
      <c r="BA64" s="257"/>
      <c r="BB64" s="257"/>
      <c r="BC64" s="257"/>
      <c r="BD64" s="257"/>
      <c r="BE64" s="257"/>
      <c r="BF64" s="257"/>
      <c r="BG64" s="257"/>
      <c r="BH64" s="462">
        <f t="shared" si="93"/>
        <v>0</v>
      </c>
      <c r="BI64" s="463">
        <f t="shared" si="94"/>
        <v>0</v>
      </c>
      <c r="BJ64" s="725">
        <v>42</v>
      </c>
      <c r="BK64" s="257"/>
      <c r="BL64" s="257"/>
      <c r="BM64" s="257"/>
      <c r="BN64" s="257"/>
      <c r="BO64" s="257"/>
      <c r="BP64" s="257"/>
      <c r="BQ64" s="257"/>
      <c r="BR64" s="257"/>
      <c r="BS64" s="460">
        <f t="shared" si="95"/>
        <v>0</v>
      </c>
      <c r="BT64" s="465"/>
      <c r="BU64" s="257"/>
      <c r="BV64" s="257"/>
      <c r="BW64" s="257"/>
      <c r="BX64" s="257"/>
      <c r="BY64" s="257"/>
      <c r="BZ64" s="257"/>
      <c r="CA64" s="257"/>
      <c r="CB64" s="462">
        <f t="shared" si="96"/>
        <v>0</v>
      </c>
      <c r="CC64" s="463">
        <f t="shared" si="97"/>
        <v>0</v>
      </c>
      <c r="CD64" s="725">
        <v>42</v>
      </c>
      <c r="CE64" s="462">
        <f t="shared" si="98"/>
        <v>0</v>
      </c>
      <c r="CF64" s="462">
        <f t="shared" si="99"/>
        <v>0</v>
      </c>
      <c r="CG64" s="462">
        <f t="shared" si="100"/>
        <v>0</v>
      </c>
      <c r="CH64" s="462">
        <f t="shared" si="101"/>
        <v>0</v>
      </c>
      <c r="CI64" s="464">
        <f t="shared" si="102"/>
        <v>0</v>
      </c>
      <c r="CJ64" s="462">
        <f t="shared" si="103"/>
        <v>0</v>
      </c>
      <c r="CK64" s="462">
        <f t="shared" si="104"/>
        <v>0</v>
      </c>
      <c r="CL64" s="462">
        <f t="shared" si="105"/>
        <v>0</v>
      </c>
      <c r="CM64" s="462">
        <f t="shared" si="106"/>
        <v>0</v>
      </c>
      <c r="CN64" s="464">
        <f t="shared" si="107"/>
        <v>0</v>
      </c>
      <c r="CO64" s="462">
        <f t="shared" si="108"/>
        <v>0</v>
      </c>
      <c r="CP64" s="462">
        <f t="shared" si="109"/>
        <v>0</v>
      </c>
      <c r="CQ64" s="462">
        <f t="shared" si="110"/>
        <v>0</v>
      </c>
      <c r="CR64" s="462">
        <f t="shared" si="111"/>
        <v>0</v>
      </c>
      <c r="CS64" s="464">
        <f t="shared" si="112"/>
        <v>0</v>
      </c>
    </row>
    <row r="65" spans="1:131" ht="15.75" customHeight="1" x14ac:dyDescent="0.25">
      <c r="A65" s="94"/>
      <c r="B65" s="725"/>
      <c r="C65" s="207" t="s">
        <v>32</v>
      </c>
      <c r="D65" s="207" t="s">
        <v>32</v>
      </c>
      <c r="E65" s="207" t="s">
        <v>32</v>
      </c>
      <c r="F65" s="207" t="s">
        <v>32</v>
      </c>
      <c r="G65" s="207" t="s">
        <v>32</v>
      </c>
      <c r="H65" s="207" t="s">
        <v>32</v>
      </c>
      <c r="I65" s="207" t="s">
        <v>32</v>
      </c>
      <c r="J65" s="207" t="s">
        <v>32</v>
      </c>
      <c r="K65" s="426"/>
      <c r="L65" s="427" t="s">
        <v>32</v>
      </c>
      <c r="M65" s="207" t="s">
        <v>32</v>
      </c>
      <c r="N65" s="207" t="s">
        <v>32</v>
      </c>
      <c r="O65" s="207" t="s">
        <v>32</v>
      </c>
      <c r="P65" s="207" t="s">
        <v>32</v>
      </c>
      <c r="Q65" s="207" t="s">
        <v>32</v>
      </c>
      <c r="R65" s="207" t="s">
        <v>32</v>
      </c>
      <c r="S65" s="207" t="s">
        <v>32</v>
      </c>
      <c r="T65" s="428"/>
      <c r="U65" s="427" t="s">
        <v>32</v>
      </c>
      <c r="V65" s="725"/>
      <c r="W65" s="207" t="s">
        <v>32</v>
      </c>
      <c r="X65" s="207" t="s">
        <v>32</v>
      </c>
      <c r="Y65" s="207" t="s">
        <v>32</v>
      </c>
      <c r="Z65" s="207" t="s">
        <v>32</v>
      </c>
      <c r="AA65" s="207" t="s">
        <v>32</v>
      </c>
      <c r="AB65" s="207" t="s">
        <v>32</v>
      </c>
      <c r="AC65" s="207" t="s">
        <v>32</v>
      </c>
      <c r="AD65" s="207" t="s">
        <v>32</v>
      </c>
      <c r="AE65" s="426"/>
      <c r="AF65" s="427" t="s">
        <v>32</v>
      </c>
      <c r="AG65" s="207" t="s">
        <v>32</v>
      </c>
      <c r="AH65" s="207" t="s">
        <v>32</v>
      </c>
      <c r="AI65" s="207" t="s">
        <v>32</v>
      </c>
      <c r="AJ65" s="207" t="s">
        <v>32</v>
      </c>
      <c r="AK65" s="207" t="s">
        <v>32</v>
      </c>
      <c r="AL65" s="207" t="s">
        <v>32</v>
      </c>
      <c r="AM65" s="207" t="s">
        <v>32</v>
      </c>
      <c r="AN65" s="428"/>
      <c r="AO65" s="427" t="s">
        <v>32</v>
      </c>
      <c r="AP65" s="725"/>
      <c r="AQ65" s="207" t="s">
        <v>32</v>
      </c>
      <c r="AR65" s="207" t="s">
        <v>32</v>
      </c>
      <c r="AS65" s="207" t="s">
        <v>32</v>
      </c>
      <c r="AT65" s="207" t="s">
        <v>32</v>
      </c>
      <c r="AU65" s="207" t="s">
        <v>32</v>
      </c>
      <c r="AV65" s="207" t="s">
        <v>32</v>
      </c>
      <c r="AW65" s="207" t="s">
        <v>32</v>
      </c>
      <c r="AX65" s="207" t="s">
        <v>32</v>
      </c>
      <c r="AY65" s="426"/>
      <c r="AZ65" s="427" t="s">
        <v>32</v>
      </c>
      <c r="BA65" s="207" t="s">
        <v>32</v>
      </c>
      <c r="BB65" s="207" t="s">
        <v>32</v>
      </c>
      <c r="BC65" s="207" t="s">
        <v>32</v>
      </c>
      <c r="BD65" s="207" t="s">
        <v>32</v>
      </c>
      <c r="BE65" s="207" t="s">
        <v>32</v>
      </c>
      <c r="BF65" s="207" t="s">
        <v>32</v>
      </c>
      <c r="BG65" s="207" t="s">
        <v>32</v>
      </c>
      <c r="BH65" s="428"/>
      <c r="BI65" s="427" t="s">
        <v>32</v>
      </c>
      <c r="BJ65" s="725"/>
      <c r="BK65" s="207" t="s">
        <v>32</v>
      </c>
      <c r="BL65" s="207" t="s">
        <v>32</v>
      </c>
      <c r="BM65" s="207" t="s">
        <v>32</v>
      </c>
      <c r="BN65" s="207" t="s">
        <v>32</v>
      </c>
      <c r="BO65" s="207" t="s">
        <v>32</v>
      </c>
      <c r="BP65" s="207" t="s">
        <v>32</v>
      </c>
      <c r="BQ65" s="207" t="s">
        <v>32</v>
      </c>
      <c r="BR65" s="207" t="s">
        <v>32</v>
      </c>
      <c r="BS65" s="426"/>
      <c r="BT65" s="427" t="s">
        <v>32</v>
      </c>
      <c r="BU65" s="207" t="s">
        <v>32</v>
      </c>
      <c r="BV65" s="207" t="s">
        <v>32</v>
      </c>
      <c r="BW65" s="207" t="s">
        <v>32</v>
      </c>
      <c r="BX65" s="207" t="s">
        <v>32</v>
      </c>
      <c r="BY65" s="207" t="s">
        <v>32</v>
      </c>
      <c r="BZ65" s="207" t="s">
        <v>32</v>
      </c>
      <c r="CA65" s="207" t="s">
        <v>32</v>
      </c>
      <c r="CB65" s="428"/>
      <c r="CC65" s="427" t="s">
        <v>32</v>
      </c>
      <c r="CD65" s="725"/>
      <c r="CE65" s="428"/>
      <c r="CF65" s="428"/>
      <c r="CG65" s="428"/>
      <c r="CH65" s="428"/>
      <c r="CI65" s="207"/>
      <c r="CJ65" s="428"/>
      <c r="CK65" s="428"/>
      <c r="CL65" s="428"/>
      <c r="CM65" s="428"/>
      <c r="CN65" s="207"/>
      <c r="CO65" s="428"/>
      <c r="CP65" s="428"/>
      <c r="CQ65" s="428"/>
      <c r="CR65" s="428"/>
      <c r="CS65" s="207"/>
    </row>
    <row r="66" spans="1:131" s="17" customFormat="1" ht="15.75" customHeight="1" x14ac:dyDescent="0.25">
      <c r="A66" s="19" t="s">
        <v>420</v>
      </c>
      <c r="B66" s="725">
        <v>43</v>
      </c>
      <c r="C66" s="236">
        <f>SUM(C35:C64)-C44-C46</f>
        <v>102546.38389067918</v>
      </c>
      <c r="D66" s="236">
        <f t="shared" ref="D66:U66" si="118">SUM(D35:D64)-D44-D46</f>
        <v>638479.07337021106</v>
      </c>
      <c r="E66" s="236">
        <f t="shared" si="118"/>
        <v>522930.50903197663</v>
      </c>
      <c r="F66" s="236">
        <f t="shared" si="118"/>
        <v>1604715.1815920661</v>
      </c>
      <c r="G66" s="236">
        <f t="shared" si="118"/>
        <v>555186.53592597763</v>
      </c>
      <c r="H66" s="236">
        <f t="shared" si="118"/>
        <v>1528222.5690844576</v>
      </c>
      <c r="I66" s="236">
        <f t="shared" si="118"/>
        <v>480227.37214090908</v>
      </c>
      <c r="J66" s="236">
        <f t="shared" si="118"/>
        <v>1241341.8561989246</v>
      </c>
      <c r="K66" s="241">
        <f t="shared" si="118"/>
        <v>6673649.4812352015</v>
      </c>
      <c r="L66" s="238">
        <f t="shared" si="118"/>
        <v>0</v>
      </c>
      <c r="M66" s="238">
        <f t="shared" si="118"/>
        <v>1001793.0435270699</v>
      </c>
      <c r="N66" s="238">
        <f t="shared" si="118"/>
        <v>0</v>
      </c>
      <c r="O66" s="238">
        <f t="shared" si="118"/>
        <v>2273390.3311034115</v>
      </c>
      <c r="P66" s="238">
        <f t="shared" si="118"/>
        <v>0</v>
      </c>
      <c r="Q66" s="238">
        <f t="shared" si="118"/>
        <v>2239034.0675564939</v>
      </c>
      <c r="R66" s="238">
        <f t="shared" si="118"/>
        <v>0</v>
      </c>
      <c r="S66" s="238">
        <f t="shared" si="118"/>
        <v>1946530.8688721424</v>
      </c>
      <c r="T66" s="239">
        <f t="shared" si="118"/>
        <v>7460748.3110591182</v>
      </c>
      <c r="U66" s="238">
        <f t="shared" si="118"/>
        <v>14134397.792294323</v>
      </c>
      <c r="V66" s="725">
        <v>43</v>
      </c>
      <c r="W66" s="236">
        <f>SUM(W35:W64)-W44-W46</f>
        <v>6022.240858938324</v>
      </c>
      <c r="X66" s="236">
        <f t="shared" ref="X66:AO66" si="119">SUM(X35:X64)-X44-X46</f>
        <v>191307.40321650633</v>
      </c>
      <c r="Y66" s="236">
        <f t="shared" si="119"/>
        <v>1554.8672928993333</v>
      </c>
      <c r="Z66" s="236">
        <f t="shared" si="119"/>
        <v>146920.36348863353</v>
      </c>
      <c r="AA66" s="236">
        <f t="shared" si="119"/>
        <v>2473.9324860183233</v>
      </c>
      <c r="AB66" s="236">
        <f t="shared" si="119"/>
        <v>135057.90571469182</v>
      </c>
      <c r="AC66" s="236">
        <f t="shared" si="119"/>
        <v>11756.092198598968</v>
      </c>
      <c r="AD66" s="236">
        <f t="shared" si="119"/>
        <v>164945.38165504896</v>
      </c>
      <c r="AE66" s="241">
        <f t="shared" si="119"/>
        <v>660038.18691133556</v>
      </c>
      <c r="AF66" s="238">
        <f t="shared" si="119"/>
        <v>0</v>
      </c>
      <c r="AG66" s="238">
        <f t="shared" si="119"/>
        <v>449554.56318049709</v>
      </c>
      <c r="AH66" s="238">
        <f t="shared" si="119"/>
        <v>0</v>
      </c>
      <c r="AI66" s="238">
        <f t="shared" si="119"/>
        <v>322241.49380640371</v>
      </c>
      <c r="AJ66" s="238">
        <f t="shared" si="119"/>
        <v>0</v>
      </c>
      <c r="AK66" s="238">
        <f t="shared" si="119"/>
        <v>347468.47661475907</v>
      </c>
      <c r="AL66" s="238">
        <f t="shared" si="119"/>
        <v>0</v>
      </c>
      <c r="AM66" s="238">
        <f t="shared" si="119"/>
        <v>399770.45926135447</v>
      </c>
      <c r="AN66" s="239">
        <f t="shared" si="119"/>
        <v>1519034.9928630139</v>
      </c>
      <c r="AO66" s="238">
        <f t="shared" si="119"/>
        <v>2179073.1797743496</v>
      </c>
      <c r="AP66" s="725">
        <v>43</v>
      </c>
      <c r="AQ66" s="236">
        <f>SUM(AQ35:AQ64)-AQ44-AQ46</f>
        <v>2890550.3780868524</v>
      </c>
      <c r="AR66" s="236">
        <f t="shared" ref="AR66:BI66" si="120">SUM(AR35:AR64)-AR44-AR46</f>
        <v>7953155.4634814616</v>
      </c>
      <c r="AS66" s="236">
        <f t="shared" si="120"/>
        <v>2502545.1541032968</v>
      </c>
      <c r="AT66" s="236">
        <f t="shared" si="120"/>
        <v>7329775.7098315367</v>
      </c>
      <c r="AU66" s="236">
        <f t="shared" si="120"/>
        <v>2722022.1916531534</v>
      </c>
      <c r="AV66" s="236">
        <f t="shared" si="120"/>
        <v>7716179.0217016647</v>
      </c>
      <c r="AW66" s="236">
        <f t="shared" si="120"/>
        <v>3210964.9565084386</v>
      </c>
      <c r="AX66" s="236">
        <f t="shared" si="120"/>
        <v>7703637.1828307286</v>
      </c>
      <c r="AY66" s="241">
        <f t="shared" si="120"/>
        <v>42028830.058197133</v>
      </c>
      <c r="AZ66" s="238">
        <f t="shared" si="120"/>
        <v>0</v>
      </c>
      <c r="BA66" s="238">
        <f t="shared" si="120"/>
        <v>9035886.3718193304</v>
      </c>
      <c r="BB66" s="238">
        <f t="shared" si="120"/>
        <v>0</v>
      </c>
      <c r="BC66" s="238">
        <f t="shared" si="120"/>
        <v>8490875.1123513691</v>
      </c>
      <c r="BD66" s="238">
        <f t="shared" si="120"/>
        <v>0</v>
      </c>
      <c r="BE66" s="238">
        <f t="shared" si="120"/>
        <v>9023634.5636974405</v>
      </c>
      <c r="BF66" s="238">
        <f t="shared" si="120"/>
        <v>0</v>
      </c>
      <c r="BG66" s="238">
        <f t="shared" si="120"/>
        <v>9256857.0209969934</v>
      </c>
      <c r="BH66" s="239">
        <f t="shared" si="120"/>
        <v>35807253.068865128</v>
      </c>
      <c r="BI66" s="238">
        <f t="shared" si="120"/>
        <v>77836083.127062291</v>
      </c>
      <c r="BJ66" s="725">
        <v>43</v>
      </c>
      <c r="BK66" s="236">
        <f>SUM(BK35:BK64)-BK44-BK46</f>
        <v>28644.665404484098</v>
      </c>
      <c r="BL66" s="236">
        <f t="shared" ref="BL66:CR66" si="121">SUM(BL35:BL64)-BL44-BL46</f>
        <v>1272684.7988394864</v>
      </c>
      <c r="BM66" s="236">
        <f t="shared" si="121"/>
        <v>211.62360494579366</v>
      </c>
      <c r="BN66" s="236">
        <f t="shared" si="121"/>
        <v>1032477.8325078886</v>
      </c>
      <c r="BO66" s="236">
        <f t="shared" si="121"/>
        <v>9323.4231950205849</v>
      </c>
      <c r="BP66" s="236">
        <f t="shared" si="121"/>
        <v>1193153.3753816092</v>
      </c>
      <c r="BQ66" s="236">
        <f t="shared" si="121"/>
        <v>43569.67074654773</v>
      </c>
      <c r="BR66" s="236">
        <f t="shared" si="121"/>
        <v>1294632.6408462038</v>
      </c>
      <c r="BS66" s="241">
        <f t="shared" si="121"/>
        <v>4874698.0305261854</v>
      </c>
      <c r="BT66" s="238">
        <f t="shared" si="121"/>
        <v>0</v>
      </c>
      <c r="BU66" s="238">
        <f t="shared" si="121"/>
        <v>541699.36667657166</v>
      </c>
      <c r="BV66" s="238">
        <f t="shared" si="121"/>
        <v>0</v>
      </c>
      <c r="BW66" s="238">
        <f t="shared" si="121"/>
        <v>678995.95756332274</v>
      </c>
      <c r="BX66" s="238">
        <f t="shared" si="121"/>
        <v>0</v>
      </c>
      <c r="BY66" s="238">
        <f t="shared" si="121"/>
        <v>462470.30009707785</v>
      </c>
      <c r="BZ66" s="238">
        <f t="shared" si="121"/>
        <v>0</v>
      </c>
      <c r="CA66" s="238">
        <f t="shared" si="121"/>
        <v>617851.23393602832</v>
      </c>
      <c r="CB66" s="239">
        <f t="shared" si="121"/>
        <v>2301016.8582730005</v>
      </c>
      <c r="CC66" s="238">
        <f t="shared" si="121"/>
        <v>7175714.8887991831</v>
      </c>
      <c r="CD66" s="725">
        <v>43</v>
      </c>
      <c r="CE66" s="239">
        <f t="shared" ref="CE66:CH66" si="122">SUM(CE35:CE64)-CE44-CE46</f>
        <v>13083390.40714862</v>
      </c>
      <c r="CF66" s="239">
        <f t="shared" si="122"/>
        <v>13141131.241453247</v>
      </c>
      <c r="CG66" s="239">
        <f t="shared" si="122"/>
        <v>13861618.955142599</v>
      </c>
      <c r="CH66" s="239">
        <f t="shared" si="122"/>
        <v>14151075.1531254</v>
      </c>
      <c r="CI66" s="236">
        <f>SUM(BS66,AY66,AE66,K66)</f>
        <v>54237215.756869853</v>
      </c>
      <c r="CJ66" s="239">
        <f t="shared" ref="CJ66:CM66" si="123">SUM(CJ35:CJ64)-CJ44-CJ46</f>
        <v>11028933.345203469</v>
      </c>
      <c r="CK66" s="239">
        <f t="shared" si="123"/>
        <v>11765502.894824509</v>
      </c>
      <c r="CL66" s="239">
        <f t="shared" si="123"/>
        <v>12072607.407965766</v>
      </c>
      <c r="CM66" s="239">
        <f t="shared" si="123"/>
        <v>12221009.583066514</v>
      </c>
      <c r="CN66" s="236">
        <f>SUM(BX66,BD66,AJ66,P66)</f>
        <v>0</v>
      </c>
      <c r="CO66" s="239">
        <f t="shared" si="121"/>
        <v>24112323.752352089</v>
      </c>
      <c r="CP66" s="239">
        <f t="shared" si="121"/>
        <v>24906634.13627775</v>
      </c>
      <c r="CQ66" s="239">
        <f t="shared" si="121"/>
        <v>25934226.363108356</v>
      </c>
      <c r="CR66" s="239">
        <f t="shared" si="121"/>
        <v>26372084.736191913</v>
      </c>
      <c r="CS66" s="236">
        <f>SUM(CC66,BI66,AO66,U66)</f>
        <v>101325268.98793015</v>
      </c>
      <c r="CT66" s="361"/>
      <c r="CU66" s="361"/>
      <c r="CV66" s="361"/>
      <c r="CW66" s="361"/>
      <c r="CX66" s="361"/>
      <c r="CY66" s="361"/>
      <c r="CZ66" s="361"/>
      <c r="DA66" s="361"/>
      <c r="DB66" s="361"/>
      <c r="DC66" s="361"/>
      <c r="DD66" s="361"/>
      <c r="DE66" s="361"/>
      <c r="DF66" s="361"/>
      <c r="DG66" s="361"/>
      <c r="DH66" s="361"/>
      <c r="DI66" s="361"/>
      <c r="DJ66" s="361"/>
      <c r="DK66" s="361"/>
      <c r="DL66" s="361"/>
      <c r="DM66" s="361"/>
      <c r="DN66" s="361"/>
      <c r="DO66" s="361"/>
      <c r="DP66" s="361"/>
      <c r="DQ66" s="361"/>
      <c r="DR66" s="361"/>
      <c r="DS66" s="361"/>
      <c r="DT66" s="361"/>
      <c r="DU66" s="361"/>
      <c r="DV66" s="361"/>
      <c r="DW66" s="361"/>
      <c r="DX66" s="361"/>
      <c r="DY66" s="361"/>
      <c r="DZ66" s="361"/>
      <c r="EA66" s="361"/>
    </row>
    <row r="67" spans="1:131" ht="15.75" customHeight="1" x14ac:dyDescent="0.25">
      <c r="B67" s="725"/>
      <c r="C67" s="198"/>
      <c r="D67" s="198"/>
      <c r="E67" s="198"/>
      <c r="F67" s="198"/>
      <c r="G67" s="198"/>
      <c r="H67" s="198"/>
      <c r="I67" s="198"/>
      <c r="J67" s="198"/>
      <c r="K67" s="429"/>
      <c r="L67" s="430"/>
      <c r="M67" s="198"/>
      <c r="N67" s="198"/>
      <c r="O67" s="198"/>
      <c r="P67" s="198"/>
      <c r="Q67" s="198"/>
      <c r="R67" s="198"/>
      <c r="S67" s="198"/>
      <c r="T67" s="198"/>
      <c r="U67" s="431"/>
      <c r="V67" s="725"/>
      <c r="W67" s="198"/>
      <c r="X67" s="198"/>
      <c r="Y67" s="198"/>
      <c r="Z67" s="198"/>
      <c r="AA67" s="198"/>
      <c r="AB67" s="198"/>
      <c r="AC67" s="198"/>
      <c r="AD67" s="198"/>
      <c r="AE67" s="429"/>
      <c r="AF67" s="430"/>
      <c r="AG67" s="198"/>
      <c r="AH67" s="198"/>
      <c r="AI67" s="198"/>
      <c r="AJ67" s="198"/>
      <c r="AK67" s="198"/>
      <c r="AL67" s="198"/>
      <c r="AM67" s="198"/>
      <c r="AN67" s="198"/>
      <c r="AO67" s="431"/>
      <c r="AP67" s="725"/>
      <c r="AQ67" s="198"/>
      <c r="AR67" s="198"/>
      <c r="AS67" s="198"/>
      <c r="AT67" s="198"/>
      <c r="AU67" s="198"/>
      <c r="AV67" s="198"/>
      <c r="AW67" s="198"/>
      <c r="AX67" s="198"/>
      <c r="AY67" s="429"/>
      <c r="AZ67" s="430"/>
      <c r="BA67" s="198"/>
      <c r="BB67" s="198"/>
      <c r="BC67" s="198"/>
      <c r="BD67" s="198"/>
      <c r="BE67" s="198"/>
      <c r="BF67" s="198"/>
      <c r="BG67" s="198"/>
      <c r="BH67" s="198"/>
      <c r="BI67" s="431"/>
      <c r="BJ67" s="725"/>
      <c r="BK67" s="198"/>
      <c r="BL67" s="198"/>
      <c r="BM67" s="198"/>
      <c r="BN67" s="198"/>
      <c r="BO67" s="198"/>
      <c r="BP67" s="198"/>
      <c r="BQ67" s="198"/>
      <c r="BR67" s="198"/>
      <c r="BS67" s="429"/>
      <c r="BT67" s="430"/>
      <c r="BU67" s="198"/>
      <c r="BV67" s="198"/>
      <c r="BW67" s="198"/>
      <c r="BX67" s="198"/>
      <c r="BY67" s="198"/>
      <c r="BZ67" s="198"/>
      <c r="CA67" s="198"/>
      <c r="CB67" s="198"/>
      <c r="CC67" s="431"/>
      <c r="CD67" s="725"/>
      <c r="CE67" s="198"/>
      <c r="CF67" s="198"/>
      <c r="CG67" s="198"/>
      <c r="CH67" s="198"/>
      <c r="CI67" s="467"/>
      <c r="CJ67" s="198"/>
      <c r="CK67" s="198"/>
      <c r="CL67" s="198"/>
      <c r="CM67" s="198"/>
      <c r="CN67" s="467"/>
      <c r="CO67" s="198"/>
      <c r="CP67" s="198"/>
      <c r="CQ67" s="198"/>
      <c r="CR67" s="198"/>
      <c r="CS67" s="467"/>
    </row>
    <row r="68" spans="1:131" ht="15.75" customHeight="1" x14ac:dyDescent="0.25">
      <c r="A68" s="19" t="s">
        <v>314</v>
      </c>
      <c r="B68" s="725"/>
      <c r="C68" s="207" t="s">
        <v>32</v>
      </c>
      <c r="D68" s="207" t="s">
        <v>32</v>
      </c>
      <c r="E68" s="207" t="s">
        <v>32</v>
      </c>
      <c r="F68" s="207" t="s">
        <v>32</v>
      </c>
      <c r="G68" s="207" t="s">
        <v>32</v>
      </c>
      <c r="H68" s="207" t="s">
        <v>32</v>
      </c>
      <c r="I68" s="207" t="s">
        <v>32</v>
      </c>
      <c r="J68" s="207" t="s">
        <v>32</v>
      </c>
      <c r="K68" s="426"/>
      <c r="L68" s="427" t="s">
        <v>32</v>
      </c>
      <c r="M68" s="207" t="s">
        <v>32</v>
      </c>
      <c r="N68" s="207" t="s">
        <v>32</v>
      </c>
      <c r="O68" s="207" t="s">
        <v>32</v>
      </c>
      <c r="P68" s="207" t="s">
        <v>32</v>
      </c>
      <c r="Q68" s="207" t="s">
        <v>32</v>
      </c>
      <c r="R68" s="207" t="s">
        <v>32</v>
      </c>
      <c r="S68" s="207" t="s">
        <v>32</v>
      </c>
      <c r="T68" s="428"/>
      <c r="U68" s="427" t="s">
        <v>32</v>
      </c>
      <c r="V68" s="725"/>
      <c r="W68" s="207" t="s">
        <v>32</v>
      </c>
      <c r="X68" s="207" t="s">
        <v>32</v>
      </c>
      <c r="Y68" s="207" t="s">
        <v>32</v>
      </c>
      <c r="Z68" s="207" t="s">
        <v>32</v>
      </c>
      <c r="AA68" s="207" t="s">
        <v>32</v>
      </c>
      <c r="AB68" s="207" t="s">
        <v>32</v>
      </c>
      <c r="AC68" s="207" t="s">
        <v>32</v>
      </c>
      <c r="AD68" s="207" t="s">
        <v>32</v>
      </c>
      <c r="AE68" s="426"/>
      <c r="AF68" s="427" t="s">
        <v>32</v>
      </c>
      <c r="AG68" s="207" t="s">
        <v>32</v>
      </c>
      <c r="AH68" s="207" t="s">
        <v>32</v>
      </c>
      <c r="AI68" s="207" t="s">
        <v>32</v>
      </c>
      <c r="AJ68" s="207" t="s">
        <v>32</v>
      </c>
      <c r="AK68" s="207" t="s">
        <v>32</v>
      </c>
      <c r="AL68" s="207" t="s">
        <v>32</v>
      </c>
      <c r="AM68" s="207" t="s">
        <v>32</v>
      </c>
      <c r="AN68" s="428"/>
      <c r="AO68" s="427" t="s">
        <v>32</v>
      </c>
      <c r="AP68" s="725"/>
      <c r="AQ68" s="207" t="s">
        <v>32</v>
      </c>
      <c r="AR68" s="207" t="s">
        <v>32</v>
      </c>
      <c r="AS68" s="207" t="s">
        <v>32</v>
      </c>
      <c r="AT68" s="207" t="s">
        <v>32</v>
      </c>
      <c r="AU68" s="207" t="s">
        <v>32</v>
      </c>
      <c r="AV68" s="207" t="s">
        <v>32</v>
      </c>
      <c r="AW68" s="207" t="s">
        <v>32</v>
      </c>
      <c r="AX68" s="207" t="s">
        <v>32</v>
      </c>
      <c r="AY68" s="426"/>
      <c r="AZ68" s="427" t="s">
        <v>32</v>
      </c>
      <c r="BA68" s="207" t="s">
        <v>32</v>
      </c>
      <c r="BB68" s="207" t="s">
        <v>32</v>
      </c>
      <c r="BC68" s="207" t="s">
        <v>32</v>
      </c>
      <c r="BD68" s="207" t="s">
        <v>32</v>
      </c>
      <c r="BE68" s="207" t="s">
        <v>32</v>
      </c>
      <c r="BF68" s="207" t="s">
        <v>32</v>
      </c>
      <c r="BG68" s="207" t="s">
        <v>32</v>
      </c>
      <c r="BH68" s="428"/>
      <c r="BI68" s="427" t="s">
        <v>32</v>
      </c>
      <c r="BJ68" s="725"/>
      <c r="BK68" s="207" t="s">
        <v>32</v>
      </c>
      <c r="BL68" s="207" t="s">
        <v>32</v>
      </c>
      <c r="BM68" s="207" t="s">
        <v>32</v>
      </c>
      <c r="BN68" s="207" t="s">
        <v>32</v>
      </c>
      <c r="BO68" s="207" t="s">
        <v>32</v>
      </c>
      <c r="BP68" s="207" t="s">
        <v>32</v>
      </c>
      <c r="BQ68" s="207" t="s">
        <v>32</v>
      </c>
      <c r="BR68" s="207" t="s">
        <v>32</v>
      </c>
      <c r="BS68" s="426"/>
      <c r="BT68" s="427" t="s">
        <v>32</v>
      </c>
      <c r="BU68" s="207" t="s">
        <v>32</v>
      </c>
      <c r="BV68" s="207" t="s">
        <v>32</v>
      </c>
      <c r="BW68" s="207" t="s">
        <v>32</v>
      </c>
      <c r="BX68" s="207" t="s">
        <v>32</v>
      </c>
      <c r="BY68" s="207" t="s">
        <v>32</v>
      </c>
      <c r="BZ68" s="207" t="s">
        <v>32</v>
      </c>
      <c r="CA68" s="207" t="s">
        <v>32</v>
      </c>
      <c r="CB68" s="428"/>
      <c r="CC68" s="427" t="s">
        <v>32</v>
      </c>
      <c r="CD68" s="725"/>
      <c r="CE68" s="198"/>
      <c r="CF68" s="198"/>
      <c r="CG68" s="198"/>
      <c r="CH68" s="198"/>
      <c r="CI68" s="467"/>
      <c r="CJ68" s="198"/>
      <c r="CK68" s="198"/>
      <c r="CL68" s="198"/>
      <c r="CM68" s="198"/>
      <c r="CN68" s="467"/>
      <c r="CO68" s="198"/>
      <c r="CP68" s="198"/>
      <c r="CQ68" s="198"/>
      <c r="CR68" s="198"/>
      <c r="CS68" s="467"/>
    </row>
    <row r="69" spans="1:131" ht="15.75" customHeight="1" x14ac:dyDescent="0.25">
      <c r="A69" s="94" t="s">
        <v>241</v>
      </c>
      <c r="B69" s="725">
        <v>44</v>
      </c>
      <c r="C69" s="468">
        <v>368.56281118375796</v>
      </c>
      <c r="D69" s="468">
        <v>1361.4856913879821</v>
      </c>
      <c r="E69" s="468">
        <v>423.09120818125092</v>
      </c>
      <c r="F69" s="468">
        <v>1336.6760868163528</v>
      </c>
      <c r="G69" s="468">
        <v>967.30653365148578</v>
      </c>
      <c r="H69" s="468">
        <v>2497.7515823428598</v>
      </c>
      <c r="I69" s="468">
        <v>721.78260895304686</v>
      </c>
      <c r="J69" s="468">
        <v>1856.920460758638</v>
      </c>
      <c r="K69" s="460">
        <f>SUM(C69:J69)</f>
        <v>9533.5769832753758</v>
      </c>
      <c r="L69" s="469">
        <v>0</v>
      </c>
      <c r="M69" s="468">
        <v>2414.3061998529038</v>
      </c>
      <c r="N69" s="468">
        <v>0</v>
      </c>
      <c r="O69" s="468">
        <v>2104.9090574364664</v>
      </c>
      <c r="P69" s="468">
        <v>0</v>
      </c>
      <c r="Q69" s="468">
        <v>5076.9472751338044</v>
      </c>
      <c r="R69" s="468">
        <v>0</v>
      </c>
      <c r="S69" s="468">
        <v>3440.2825737822177</v>
      </c>
      <c r="T69" s="462">
        <f>SUM(L69:S69)</f>
        <v>13036.445106205392</v>
      </c>
      <c r="U69" s="463">
        <f>SUM(T69,K69)</f>
        <v>22570.022089480768</v>
      </c>
      <c r="V69" s="725">
        <v>44</v>
      </c>
      <c r="W69" s="468">
        <v>78.985510635065651</v>
      </c>
      <c r="X69" s="468">
        <v>1063.5500309629151</v>
      </c>
      <c r="Y69" s="468">
        <v>57.727198557112771</v>
      </c>
      <c r="Z69" s="468">
        <v>1035.9754696856717</v>
      </c>
      <c r="AA69" s="468">
        <v>87.370174566578044</v>
      </c>
      <c r="AB69" s="468">
        <v>1935.0394275120616</v>
      </c>
      <c r="AC69" s="468">
        <v>129.33659589270798</v>
      </c>
      <c r="AD69" s="468">
        <v>1513.4119691959111</v>
      </c>
      <c r="AE69" s="460">
        <f>SUM(W69:AD69)</f>
        <v>5901.3963770080245</v>
      </c>
      <c r="AF69" s="469">
        <v>0</v>
      </c>
      <c r="AG69" s="468">
        <v>1040.4932927357077</v>
      </c>
      <c r="AH69" s="468">
        <v>0</v>
      </c>
      <c r="AI69" s="468">
        <v>951.35270176428025</v>
      </c>
      <c r="AJ69" s="468">
        <v>0</v>
      </c>
      <c r="AK69" s="468">
        <v>2385.2379967116012</v>
      </c>
      <c r="AL69" s="468">
        <v>0</v>
      </c>
      <c r="AM69" s="468">
        <v>1728.7002489761162</v>
      </c>
      <c r="AN69" s="462">
        <f>SUM(AF69:AM69)</f>
        <v>6105.7842401877051</v>
      </c>
      <c r="AO69" s="463">
        <f>SUM(AN69,AE69)</f>
        <v>12007.180617195729</v>
      </c>
      <c r="AP69" s="725">
        <v>44</v>
      </c>
      <c r="AQ69" s="468">
        <v>9668.1046644719954</v>
      </c>
      <c r="AR69" s="468">
        <v>30989.021612176628</v>
      </c>
      <c r="AS69" s="468">
        <v>10262.824542886867</v>
      </c>
      <c r="AT69" s="468">
        <v>31527.930928919362</v>
      </c>
      <c r="AU69" s="468">
        <v>19685.638444149874</v>
      </c>
      <c r="AV69" s="468">
        <v>61179.707056291256</v>
      </c>
      <c r="AW69" s="468">
        <v>15109.15471626629</v>
      </c>
      <c r="AX69" s="468">
        <v>45320.965437555453</v>
      </c>
      <c r="AY69" s="460">
        <f>SUM(AQ69:AX69)</f>
        <v>223743.34740271771</v>
      </c>
      <c r="AZ69" s="469">
        <v>0</v>
      </c>
      <c r="BA69" s="468">
        <v>22326.966206191315</v>
      </c>
      <c r="BB69" s="468">
        <v>0</v>
      </c>
      <c r="BC69" s="468">
        <v>17780.816683045046</v>
      </c>
      <c r="BD69" s="468">
        <v>0</v>
      </c>
      <c r="BE69" s="468">
        <v>45545.078340643828</v>
      </c>
      <c r="BF69" s="468">
        <v>0</v>
      </c>
      <c r="BG69" s="468">
        <v>30485.196963308445</v>
      </c>
      <c r="BH69" s="462">
        <f>SUM(AZ69:BG69)</f>
        <v>116138.05819318863</v>
      </c>
      <c r="BI69" s="463">
        <f>SUM(BH69,AY69)</f>
        <v>339881.40559590631</v>
      </c>
      <c r="BJ69" s="725">
        <v>44</v>
      </c>
      <c r="BK69" s="468">
        <v>238.63047995747445</v>
      </c>
      <c r="BL69" s="468">
        <v>4058.9198683867612</v>
      </c>
      <c r="BM69" s="468">
        <v>185.85126531152318</v>
      </c>
      <c r="BN69" s="468">
        <v>4197.3088074651123</v>
      </c>
      <c r="BO69" s="468">
        <v>491.64190411907919</v>
      </c>
      <c r="BP69" s="468">
        <v>7840.7914944670047</v>
      </c>
      <c r="BQ69" s="468">
        <v>400.11047919063509</v>
      </c>
      <c r="BR69" s="468">
        <v>5626.795624951078</v>
      </c>
      <c r="BS69" s="460">
        <f>SUM(BK69:BR69)</f>
        <v>23040.04992384867</v>
      </c>
      <c r="BT69" s="469">
        <v>0</v>
      </c>
      <c r="BU69" s="468">
        <v>920.88537714340123</v>
      </c>
      <c r="BV69" s="468">
        <v>0</v>
      </c>
      <c r="BW69" s="468">
        <v>847.84849291347223</v>
      </c>
      <c r="BX69" s="468">
        <v>0</v>
      </c>
      <c r="BY69" s="468">
        <v>1932.3581428821801</v>
      </c>
      <c r="BZ69" s="468">
        <v>0</v>
      </c>
      <c r="CA69" s="468">
        <v>1502.5866610063881</v>
      </c>
      <c r="CB69" s="462">
        <f>SUM(BT69:CA69)</f>
        <v>5203.6786739454419</v>
      </c>
      <c r="CC69" s="463">
        <f>SUM(CB69,BS69)</f>
        <v>28243.728597794114</v>
      </c>
      <c r="CD69" s="725">
        <v>44</v>
      </c>
      <c r="CE69" s="462">
        <f t="shared" ref="CE69:CE71" si="124">+C69+D69+W69+X69+AQ69+AR69+BK69+BL69</f>
        <v>47827.26066916257</v>
      </c>
      <c r="CF69" s="462">
        <f t="shared" ref="CF69:CF71" si="125">+E69+F69+Y69+Z69+AS69+AT69+BM69+BN69</f>
        <v>49027.385507823252</v>
      </c>
      <c r="CG69" s="462">
        <f t="shared" ref="CG69:CG71" si="126">+G69+H69+AA69+AB69+AU69+AV69+BO69+BP69</f>
        <v>94685.246617100202</v>
      </c>
      <c r="CH69" s="462">
        <f t="shared" ref="CH69:CH71" si="127">+I69+J69+AC69+AD69+AW69+AX69+BQ69+BR69</f>
        <v>70678.477892763753</v>
      </c>
      <c r="CI69" s="464">
        <f t="shared" ref="CI69:CI71" si="128">SUM(K69,AE69,AY69,BS69)</f>
        <v>262218.37068684975</v>
      </c>
      <c r="CJ69" s="462">
        <f t="shared" ref="CJ69:CJ71" si="129">L69+M69+AF69+AG69+AZ69+BA69+BT69+BU69</f>
        <v>26702.651075923328</v>
      </c>
      <c r="CK69" s="462">
        <f t="shared" ref="CK69:CK71" si="130">N69+O69+AH69+AI69+BB69+BC69+BV69+BW69</f>
        <v>21684.926935159267</v>
      </c>
      <c r="CL69" s="462">
        <f t="shared" ref="CL69:CL71" si="131">P69+Q69+AJ69+AK69+BD69+BE69+BX69+BY69</f>
        <v>54939.621755371409</v>
      </c>
      <c r="CM69" s="462">
        <f t="shared" ref="CM69:CM71" si="132">+R69+S69+AL69+AM69+BF69+BG69+BZ69+CA69</f>
        <v>37156.766447073169</v>
      </c>
      <c r="CN69" s="464">
        <f t="shared" ref="CN69:CN71" si="133">SUM(T69,AN69,BH69,CB69)</f>
        <v>140483.96621352716</v>
      </c>
      <c r="CO69" s="462">
        <f t="shared" ref="CO69:CO71" si="134">+C69+D69+L69+M69+W69+X69+AF69+AG69+AQ69+AR69+AZ69+BA69+BK69+BL69+BT69+BU69</f>
        <v>74529.911745085905</v>
      </c>
      <c r="CP69" s="462">
        <f t="shared" ref="CP69:CP71" si="135">+E69+F69+N69+O69+Y69+Z69+AH69+AI69+AS69+AT69+BB69+BC69+BM69+BN69+BV69+BW69</f>
        <v>70712.312442982526</v>
      </c>
      <c r="CQ69" s="462">
        <f t="shared" ref="CQ69:CQ71" si="136">+G69+H69+P69+Q69+AA69+AB69+AJ69+AK69+AU69+AV69+BD69+BE69+BO69+BP69+BX69+BY69</f>
        <v>149624.86837247162</v>
      </c>
      <c r="CR69" s="462">
        <f t="shared" ref="CR69:CR71" si="137">+I69+J69+R69+S69+AC69+AD69+AL69+AM69+AW69+AX69+BF69+BG69+BQ69+BR69+BZ69+CA69</f>
        <v>107835.24433983692</v>
      </c>
      <c r="CS69" s="464">
        <f t="shared" ref="CS69:CS71" si="138">SUM(CC69,BI69,AO69,U69)</f>
        <v>402702.33690037695</v>
      </c>
    </row>
    <row r="70" spans="1:131" ht="15.75" customHeight="1" x14ac:dyDescent="0.25">
      <c r="A70" s="94" t="s">
        <v>318</v>
      </c>
      <c r="B70" s="725">
        <v>45</v>
      </c>
      <c r="C70" s="258">
        <f t="shared" ref="C70:J70" si="139">IF(ABS(C62)&lt;C83, -C62, C83)</f>
        <v>0</v>
      </c>
      <c r="D70" s="258">
        <f t="shared" si="139"/>
        <v>0</v>
      </c>
      <c r="E70" s="258">
        <f t="shared" si="139"/>
        <v>0</v>
      </c>
      <c r="F70" s="258">
        <f t="shared" si="139"/>
        <v>0</v>
      </c>
      <c r="G70" s="258">
        <f t="shared" si="139"/>
        <v>0</v>
      </c>
      <c r="H70" s="258">
        <f t="shared" si="139"/>
        <v>0</v>
      </c>
      <c r="I70" s="258">
        <f t="shared" si="139"/>
        <v>0</v>
      </c>
      <c r="J70" s="258">
        <f t="shared" si="139"/>
        <v>0</v>
      </c>
      <c r="K70" s="460">
        <f t="shared" ref="K70" si="140">SUM(C70:J70)</f>
        <v>0</v>
      </c>
      <c r="L70" s="466">
        <f t="shared" ref="L70:S70" si="141">IF(ABS(L62)&lt;L83, -L62, L83)</f>
        <v>0</v>
      </c>
      <c r="M70" s="258">
        <f t="shared" si="141"/>
        <v>0</v>
      </c>
      <c r="N70" s="258">
        <f t="shared" si="141"/>
        <v>0</v>
      </c>
      <c r="O70" s="258">
        <f t="shared" si="141"/>
        <v>0</v>
      </c>
      <c r="P70" s="258">
        <f t="shared" si="141"/>
        <v>0</v>
      </c>
      <c r="Q70" s="258">
        <f t="shared" si="141"/>
        <v>0</v>
      </c>
      <c r="R70" s="258">
        <f t="shared" si="141"/>
        <v>0</v>
      </c>
      <c r="S70" s="258">
        <f t="shared" si="141"/>
        <v>0</v>
      </c>
      <c r="T70" s="462">
        <f t="shared" ref="T70" si="142">SUM(L70:S70)</f>
        <v>0</v>
      </c>
      <c r="U70" s="463">
        <f t="shared" ref="U70" si="143">SUM(T70,K70)</f>
        <v>0</v>
      </c>
      <c r="V70" s="725">
        <v>45</v>
      </c>
      <c r="W70" s="258">
        <f t="shared" ref="W70:AD70" si="144">IF(ABS(W62)&lt;W83, -W62, W83)</f>
        <v>0</v>
      </c>
      <c r="X70" s="258">
        <f t="shared" si="144"/>
        <v>0</v>
      </c>
      <c r="Y70" s="258">
        <f t="shared" si="144"/>
        <v>0</v>
      </c>
      <c r="Z70" s="258">
        <f t="shared" si="144"/>
        <v>0</v>
      </c>
      <c r="AA70" s="258">
        <f t="shared" si="144"/>
        <v>0</v>
      </c>
      <c r="AB70" s="258">
        <f t="shared" si="144"/>
        <v>0</v>
      </c>
      <c r="AC70" s="258">
        <f t="shared" si="144"/>
        <v>0</v>
      </c>
      <c r="AD70" s="258">
        <f t="shared" si="144"/>
        <v>0</v>
      </c>
      <c r="AE70" s="460">
        <f t="shared" ref="AE70" si="145">SUM(W70:AD70)</f>
        <v>0</v>
      </c>
      <c r="AF70" s="466">
        <f t="shared" ref="AF70:AM70" si="146">IF(ABS(AF62)&lt;AF83, -AF62, AF83)</f>
        <v>0</v>
      </c>
      <c r="AG70" s="258">
        <f t="shared" si="146"/>
        <v>0</v>
      </c>
      <c r="AH70" s="258">
        <f t="shared" si="146"/>
        <v>0</v>
      </c>
      <c r="AI70" s="258">
        <f t="shared" si="146"/>
        <v>0</v>
      </c>
      <c r="AJ70" s="258">
        <f t="shared" si="146"/>
        <v>0</v>
      </c>
      <c r="AK70" s="258">
        <f t="shared" si="146"/>
        <v>0</v>
      </c>
      <c r="AL70" s="258">
        <f t="shared" si="146"/>
        <v>0</v>
      </c>
      <c r="AM70" s="258">
        <f t="shared" si="146"/>
        <v>0</v>
      </c>
      <c r="AN70" s="462">
        <f t="shared" ref="AN70" si="147">SUM(AF70:AM70)</f>
        <v>0</v>
      </c>
      <c r="AO70" s="463">
        <f t="shared" ref="AO70" si="148">SUM(AN70,AE70)</f>
        <v>0</v>
      </c>
      <c r="AP70" s="725">
        <v>45</v>
      </c>
      <c r="AQ70" s="258">
        <f t="shared" ref="AQ70:AX70" si="149">IF(ABS(AQ62)&lt;AQ83, -AQ62, AQ83)</f>
        <v>0</v>
      </c>
      <c r="AR70" s="258">
        <f t="shared" si="149"/>
        <v>0</v>
      </c>
      <c r="AS70" s="258">
        <f t="shared" si="149"/>
        <v>0</v>
      </c>
      <c r="AT70" s="258">
        <f t="shared" si="149"/>
        <v>0</v>
      </c>
      <c r="AU70" s="258">
        <f t="shared" si="149"/>
        <v>0</v>
      </c>
      <c r="AV70" s="258">
        <f t="shared" si="149"/>
        <v>0</v>
      </c>
      <c r="AW70" s="258">
        <f t="shared" si="149"/>
        <v>0</v>
      </c>
      <c r="AX70" s="258">
        <f t="shared" si="149"/>
        <v>0</v>
      </c>
      <c r="AY70" s="460">
        <f t="shared" ref="AY70" si="150">SUM(AQ70:AX70)</f>
        <v>0</v>
      </c>
      <c r="AZ70" s="466">
        <f t="shared" ref="AZ70:BG70" si="151">IF(ABS(AZ62)&lt;AZ83, -AZ62, AZ83)</f>
        <v>0</v>
      </c>
      <c r="BA70" s="258">
        <f t="shared" si="151"/>
        <v>0</v>
      </c>
      <c r="BB70" s="258">
        <f t="shared" si="151"/>
        <v>0</v>
      </c>
      <c r="BC70" s="258">
        <f t="shared" si="151"/>
        <v>0</v>
      </c>
      <c r="BD70" s="258">
        <f t="shared" si="151"/>
        <v>0</v>
      </c>
      <c r="BE70" s="258">
        <f t="shared" si="151"/>
        <v>0</v>
      </c>
      <c r="BF70" s="258">
        <f t="shared" si="151"/>
        <v>0</v>
      </c>
      <c r="BG70" s="258">
        <f t="shared" si="151"/>
        <v>0</v>
      </c>
      <c r="BH70" s="462">
        <f t="shared" ref="BH70" si="152">SUM(AZ70:BG70)</f>
        <v>0</v>
      </c>
      <c r="BI70" s="463">
        <f t="shared" ref="BI70" si="153">SUM(BH70,AY70)</f>
        <v>0</v>
      </c>
      <c r="BJ70" s="725">
        <v>45</v>
      </c>
      <c r="BK70" s="258">
        <f t="shared" ref="BK70:BR70" si="154">IF(ABS(BK62)&lt;BK83, -BK62, BK83)</f>
        <v>0</v>
      </c>
      <c r="BL70" s="258">
        <f t="shared" si="154"/>
        <v>0</v>
      </c>
      <c r="BM70" s="258">
        <f t="shared" si="154"/>
        <v>0</v>
      </c>
      <c r="BN70" s="258">
        <f t="shared" si="154"/>
        <v>0</v>
      </c>
      <c r="BO70" s="258">
        <f t="shared" si="154"/>
        <v>0</v>
      </c>
      <c r="BP70" s="258">
        <f t="shared" si="154"/>
        <v>0</v>
      </c>
      <c r="BQ70" s="258">
        <f t="shared" si="154"/>
        <v>0</v>
      </c>
      <c r="BR70" s="258">
        <f t="shared" si="154"/>
        <v>0</v>
      </c>
      <c r="BS70" s="460">
        <f t="shared" ref="BS70" si="155">SUM(BK70:BR70)</f>
        <v>0</v>
      </c>
      <c r="BT70" s="466">
        <f t="shared" ref="BT70:CA70" si="156">IF(ABS(BT62)&lt;BT83, -BT62, BT83)</f>
        <v>0</v>
      </c>
      <c r="BU70" s="258">
        <f t="shared" si="156"/>
        <v>0</v>
      </c>
      <c r="BV70" s="258">
        <f t="shared" si="156"/>
        <v>0</v>
      </c>
      <c r="BW70" s="258">
        <f t="shared" si="156"/>
        <v>0</v>
      </c>
      <c r="BX70" s="258">
        <f t="shared" si="156"/>
        <v>0</v>
      </c>
      <c r="BY70" s="258">
        <f t="shared" si="156"/>
        <v>0</v>
      </c>
      <c r="BZ70" s="258">
        <f t="shared" si="156"/>
        <v>0</v>
      </c>
      <c r="CA70" s="258">
        <f t="shared" si="156"/>
        <v>0</v>
      </c>
      <c r="CB70" s="462">
        <f t="shared" ref="CB70" si="157">SUM(BT70:CA70)</f>
        <v>0</v>
      </c>
      <c r="CC70" s="463">
        <f t="shared" ref="CC70" si="158">SUM(CB70,BS70)</f>
        <v>0</v>
      </c>
      <c r="CD70" s="725">
        <v>45</v>
      </c>
      <c r="CE70" s="462">
        <f t="shared" si="124"/>
        <v>0</v>
      </c>
      <c r="CF70" s="462">
        <f t="shared" si="125"/>
        <v>0</v>
      </c>
      <c r="CG70" s="462">
        <f t="shared" si="126"/>
        <v>0</v>
      </c>
      <c r="CH70" s="462">
        <f t="shared" si="127"/>
        <v>0</v>
      </c>
      <c r="CI70" s="464">
        <f t="shared" si="128"/>
        <v>0</v>
      </c>
      <c r="CJ70" s="462">
        <f t="shared" si="129"/>
        <v>0</v>
      </c>
      <c r="CK70" s="462">
        <f t="shared" si="130"/>
        <v>0</v>
      </c>
      <c r="CL70" s="462">
        <f t="shared" si="131"/>
        <v>0</v>
      </c>
      <c r="CM70" s="462">
        <f t="shared" si="132"/>
        <v>0</v>
      </c>
      <c r="CN70" s="464">
        <f t="shared" si="133"/>
        <v>0</v>
      </c>
      <c r="CO70" s="462">
        <f t="shared" si="134"/>
        <v>0</v>
      </c>
      <c r="CP70" s="462">
        <f t="shared" si="135"/>
        <v>0</v>
      </c>
      <c r="CQ70" s="462">
        <f t="shared" si="136"/>
        <v>0</v>
      </c>
      <c r="CR70" s="462">
        <f t="shared" si="137"/>
        <v>0</v>
      </c>
      <c r="CS70" s="464">
        <f t="shared" si="138"/>
        <v>0</v>
      </c>
    </row>
    <row r="71" spans="1:131" ht="15.75" customHeight="1" x14ac:dyDescent="0.25">
      <c r="A71" s="94" t="s">
        <v>514</v>
      </c>
      <c r="B71" s="343">
        <v>46</v>
      </c>
      <c r="C71" s="468">
        <v>2944.005467873561</v>
      </c>
      <c r="D71" s="468">
        <v>10875.273354368401</v>
      </c>
      <c r="E71" s="468">
        <v>3723.7168353903703</v>
      </c>
      <c r="F71" s="468">
        <v>11764.374091672144</v>
      </c>
      <c r="G71" s="468">
        <v>4397.0829240947869</v>
      </c>
      <c r="H71" s="468">
        <v>11354.02320698845</v>
      </c>
      <c r="I71" s="468">
        <v>4606.3829219028421</v>
      </c>
      <c r="J71" s="468">
        <v>11850.779710774352</v>
      </c>
      <c r="K71" s="460">
        <f>SUM(C71:J71)</f>
        <v>61515.638513064907</v>
      </c>
      <c r="L71" s="469">
        <v>0</v>
      </c>
      <c r="M71" s="468">
        <v>29783.329279185909</v>
      </c>
      <c r="N71" s="468">
        <v>0</v>
      </c>
      <c r="O71" s="468">
        <v>27415.15861774053</v>
      </c>
      <c r="P71" s="468">
        <v>0</v>
      </c>
      <c r="Q71" s="468">
        <v>27802.345043045505</v>
      </c>
      <c r="R71" s="468">
        <v>0</v>
      </c>
      <c r="S71" s="468">
        <v>28205.496578533857</v>
      </c>
      <c r="T71" s="462">
        <f>SUM(L71:S71)</f>
        <v>113206.32951850579</v>
      </c>
      <c r="U71" s="463">
        <f>SUM(T71,K71)</f>
        <v>174721.96803157069</v>
      </c>
      <c r="V71" s="343">
        <v>46</v>
      </c>
      <c r="W71" s="468">
        <v>630.9203428462074</v>
      </c>
      <c r="X71" s="468">
        <v>8495.4233349137758</v>
      </c>
      <c r="Y71" s="468">
        <v>508.06950598452403</v>
      </c>
      <c r="Z71" s="468">
        <v>9117.8432047856804</v>
      </c>
      <c r="AA71" s="468">
        <v>397.15838702304927</v>
      </c>
      <c r="AB71" s="468">
        <v>8796.1039527403918</v>
      </c>
      <c r="AC71" s="468">
        <v>825.42011833922606</v>
      </c>
      <c r="AD71" s="468">
        <v>9658.5245505144794</v>
      </c>
      <c r="AE71" s="460">
        <f>SUM(W71:AD71)</f>
        <v>38429.46339714733</v>
      </c>
      <c r="AF71" s="469">
        <v>0</v>
      </c>
      <c r="AG71" s="468">
        <v>12835.718332753338</v>
      </c>
      <c r="AH71" s="468">
        <v>0</v>
      </c>
      <c r="AI71" s="468">
        <v>12390.789582162732</v>
      </c>
      <c r="AJ71" s="468">
        <v>0</v>
      </c>
      <c r="AK71" s="468">
        <v>13062.024519963292</v>
      </c>
      <c r="AL71" s="468">
        <v>0</v>
      </c>
      <c r="AM71" s="468">
        <v>14172.919785540002</v>
      </c>
      <c r="AN71" s="462">
        <f>SUM(AF71:AM71)</f>
        <v>52461.452220419364</v>
      </c>
      <c r="AO71" s="463">
        <f>SUM(AN71,AE71)</f>
        <v>90890.915617566701</v>
      </c>
      <c r="AP71" s="343">
        <v>46</v>
      </c>
      <c r="AQ71" s="468">
        <v>77226.87187229094</v>
      </c>
      <c r="AR71" s="468">
        <v>247534.06014372298</v>
      </c>
      <c r="AS71" s="468">
        <v>90325.328888975069</v>
      </c>
      <c r="AT71" s="468">
        <v>277484.10960775043</v>
      </c>
      <c r="AU71" s="468">
        <v>89484.95811965855</v>
      </c>
      <c r="AV71" s="468">
        <v>278104.44346203812</v>
      </c>
      <c r="AW71" s="468">
        <v>96425.920195486877</v>
      </c>
      <c r="AX71" s="468">
        <v>289236.28611462563</v>
      </c>
      <c r="AY71" s="460">
        <f>SUM(AQ71:AX71)</f>
        <v>1445821.9784045485</v>
      </c>
      <c r="AZ71" s="469">
        <v>0</v>
      </c>
      <c r="BA71" s="468">
        <v>275429.59810349112</v>
      </c>
      <c r="BB71" s="468">
        <v>0</v>
      </c>
      <c r="BC71" s="468">
        <v>231584.30906859285</v>
      </c>
      <c r="BD71" s="468">
        <v>0</v>
      </c>
      <c r="BE71" s="468">
        <v>249413.65636020817</v>
      </c>
      <c r="BF71" s="468">
        <v>0</v>
      </c>
      <c r="BG71" s="468">
        <v>249935.8992186549</v>
      </c>
      <c r="BH71" s="462">
        <f>SUM(AZ71:BG71)</f>
        <v>1006363.4627509471</v>
      </c>
      <c r="BI71" s="463">
        <f>SUM(BH71,AY71)</f>
        <v>2452185.4411554956</v>
      </c>
      <c r="BJ71" s="343">
        <v>46</v>
      </c>
      <c r="BK71" s="468">
        <v>1906.1321882685286</v>
      </c>
      <c r="BL71" s="468">
        <v>32421.834009274178</v>
      </c>
      <c r="BM71" s="468">
        <v>1635.7170088550884</v>
      </c>
      <c r="BN71" s="468">
        <v>36941.4186999472</v>
      </c>
      <c r="BO71" s="468">
        <v>2234.8553908872168</v>
      </c>
      <c r="BP71" s="468">
        <v>35641.86655657411</v>
      </c>
      <c r="BQ71" s="468">
        <v>2553.4864034636198</v>
      </c>
      <c r="BR71" s="468">
        <v>35909.947053737291</v>
      </c>
      <c r="BS71" s="460">
        <f>SUM(BK71:BR71)</f>
        <v>149245.25731100724</v>
      </c>
      <c r="BT71" s="469">
        <v>0</v>
      </c>
      <c r="BU71" s="468">
        <v>11360.212891604331</v>
      </c>
      <c r="BV71" s="468">
        <v>0</v>
      </c>
      <c r="BW71" s="468">
        <v>11042.710294260152</v>
      </c>
      <c r="BX71" s="468">
        <v>0</v>
      </c>
      <c r="BY71" s="468">
        <v>10581.96686388339</v>
      </c>
      <c r="BZ71" s="468">
        <v>0</v>
      </c>
      <c r="CA71" s="468">
        <v>12319.105194714504</v>
      </c>
      <c r="CB71" s="462">
        <f>SUM(BT71:CA71)</f>
        <v>45303.995244462378</v>
      </c>
      <c r="CC71" s="463">
        <f>SUM(CB71,BS71)</f>
        <v>194549.25255546963</v>
      </c>
      <c r="CD71" s="343">
        <v>46</v>
      </c>
      <c r="CE71" s="462">
        <f t="shared" si="124"/>
        <v>382034.5207135586</v>
      </c>
      <c r="CF71" s="462">
        <f t="shared" si="125"/>
        <v>431500.57784336049</v>
      </c>
      <c r="CG71" s="462">
        <f t="shared" si="126"/>
        <v>430410.49200000474</v>
      </c>
      <c r="CH71" s="462">
        <f t="shared" si="127"/>
        <v>451066.74706884433</v>
      </c>
      <c r="CI71" s="464">
        <f t="shared" si="128"/>
        <v>1695012.337625768</v>
      </c>
      <c r="CJ71" s="462">
        <f t="shared" si="129"/>
        <v>329408.85860703472</v>
      </c>
      <c r="CK71" s="462">
        <f t="shared" si="130"/>
        <v>282432.96756275627</v>
      </c>
      <c r="CL71" s="462">
        <f t="shared" si="131"/>
        <v>300859.99278710032</v>
      </c>
      <c r="CM71" s="462">
        <f t="shared" si="132"/>
        <v>304633.42077744327</v>
      </c>
      <c r="CN71" s="464">
        <f t="shared" si="133"/>
        <v>1217335.2397343346</v>
      </c>
      <c r="CO71" s="462">
        <f t="shared" si="134"/>
        <v>711443.37932059309</v>
      </c>
      <c r="CP71" s="462">
        <f t="shared" si="135"/>
        <v>713933.54540611675</v>
      </c>
      <c r="CQ71" s="462">
        <f t="shared" si="136"/>
        <v>731270.48478710512</v>
      </c>
      <c r="CR71" s="462">
        <f t="shared" si="137"/>
        <v>755700.16784628748</v>
      </c>
      <c r="CS71" s="464">
        <f t="shared" si="138"/>
        <v>2912347.5773601024</v>
      </c>
    </row>
    <row r="72" spans="1:131" s="17" customFormat="1" ht="15.75" customHeight="1" x14ac:dyDescent="0.25">
      <c r="A72" s="111"/>
      <c r="B72" s="343"/>
      <c r="C72" s="207" t="s">
        <v>32</v>
      </c>
      <c r="D72" s="207" t="s">
        <v>32</v>
      </c>
      <c r="E72" s="207" t="s">
        <v>32</v>
      </c>
      <c r="F72" s="207" t="s">
        <v>32</v>
      </c>
      <c r="G72" s="207" t="s">
        <v>32</v>
      </c>
      <c r="H72" s="207" t="s">
        <v>32</v>
      </c>
      <c r="I72" s="207" t="s">
        <v>32</v>
      </c>
      <c r="J72" s="207" t="s">
        <v>32</v>
      </c>
      <c r="K72" s="426"/>
      <c r="L72" s="427" t="s">
        <v>32</v>
      </c>
      <c r="M72" s="207" t="s">
        <v>32</v>
      </c>
      <c r="N72" s="207" t="s">
        <v>32</v>
      </c>
      <c r="O72" s="207" t="s">
        <v>32</v>
      </c>
      <c r="P72" s="207" t="s">
        <v>32</v>
      </c>
      <c r="Q72" s="207" t="s">
        <v>32</v>
      </c>
      <c r="R72" s="207" t="s">
        <v>32</v>
      </c>
      <c r="S72" s="207" t="s">
        <v>32</v>
      </c>
      <c r="T72" s="428"/>
      <c r="U72" s="427" t="s">
        <v>32</v>
      </c>
      <c r="V72" s="343"/>
      <c r="W72" s="207" t="s">
        <v>32</v>
      </c>
      <c r="X72" s="207" t="s">
        <v>32</v>
      </c>
      <c r="Y72" s="207" t="s">
        <v>32</v>
      </c>
      <c r="Z72" s="207" t="s">
        <v>32</v>
      </c>
      <c r="AA72" s="207" t="s">
        <v>32</v>
      </c>
      <c r="AB72" s="207" t="s">
        <v>32</v>
      </c>
      <c r="AC72" s="207" t="s">
        <v>32</v>
      </c>
      <c r="AD72" s="207" t="s">
        <v>32</v>
      </c>
      <c r="AE72" s="426"/>
      <c r="AF72" s="427" t="s">
        <v>32</v>
      </c>
      <c r="AG72" s="207" t="s">
        <v>32</v>
      </c>
      <c r="AH72" s="207" t="s">
        <v>32</v>
      </c>
      <c r="AI72" s="207" t="s">
        <v>32</v>
      </c>
      <c r="AJ72" s="207" t="s">
        <v>32</v>
      </c>
      <c r="AK72" s="207" t="s">
        <v>32</v>
      </c>
      <c r="AL72" s="207" t="s">
        <v>32</v>
      </c>
      <c r="AM72" s="207" t="s">
        <v>32</v>
      </c>
      <c r="AN72" s="428"/>
      <c r="AO72" s="427" t="s">
        <v>32</v>
      </c>
      <c r="AP72" s="343"/>
      <c r="AQ72" s="207" t="s">
        <v>32</v>
      </c>
      <c r="AR72" s="207" t="s">
        <v>32</v>
      </c>
      <c r="AS72" s="207" t="s">
        <v>32</v>
      </c>
      <c r="AT72" s="207" t="s">
        <v>32</v>
      </c>
      <c r="AU72" s="207" t="s">
        <v>32</v>
      </c>
      <c r="AV72" s="207" t="s">
        <v>32</v>
      </c>
      <c r="AW72" s="207" t="s">
        <v>32</v>
      </c>
      <c r="AX72" s="207" t="s">
        <v>32</v>
      </c>
      <c r="AY72" s="426"/>
      <c r="AZ72" s="427" t="s">
        <v>32</v>
      </c>
      <c r="BA72" s="207" t="s">
        <v>32</v>
      </c>
      <c r="BB72" s="207" t="s">
        <v>32</v>
      </c>
      <c r="BC72" s="207" t="s">
        <v>32</v>
      </c>
      <c r="BD72" s="207" t="s">
        <v>32</v>
      </c>
      <c r="BE72" s="207" t="s">
        <v>32</v>
      </c>
      <c r="BF72" s="207" t="s">
        <v>32</v>
      </c>
      <c r="BG72" s="207" t="s">
        <v>32</v>
      </c>
      <c r="BH72" s="428"/>
      <c r="BI72" s="427" t="s">
        <v>32</v>
      </c>
      <c r="BJ72" s="343"/>
      <c r="BK72" s="207" t="s">
        <v>32</v>
      </c>
      <c r="BL72" s="207" t="s">
        <v>32</v>
      </c>
      <c r="BM72" s="207" t="s">
        <v>32</v>
      </c>
      <c r="BN72" s="207" t="s">
        <v>32</v>
      </c>
      <c r="BO72" s="207" t="s">
        <v>32</v>
      </c>
      <c r="BP72" s="207" t="s">
        <v>32</v>
      </c>
      <c r="BQ72" s="207" t="s">
        <v>32</v>
      </c>
      <c r="BR72" s="207" t="s">
        <v>32</v>
      </c>
      <c r="BS72" s="426"/>
      <c r="BT72" s="427" t="s">
        <v>32</v>
      </c>
      <c r="BU72" s="207" t="s">
        <v>32</v>
      </c>
      <c r="BV72" s="207" t="s">
        <v>32</v>
      </c>
      <c r="BW72" s="207" t="s">
        <v>32</v>
      </c>
      <c r="BX72" s="207" t="s">
        <v>32</v>
      </c>
      <c r="BY72" s="207" t="s">
        <v>32</v>
      </c>
      <c r="BZ72" s="207" t="s">
        <v>32</v>
      </c>
      <c r="CA72" s="207" t="s">
        <v>32</v>
      </c>
      <c r="CB72" s="428"/>
      <c r="CC72" s="427" t="s">
        <v>32</v>
      </c>
      <c r="CD72" s="343"/>
      <c r="CE72" s="428"/>
      <c r="CF72" s="428"/>
      <c r="CG72" s="428"/>
      <c r="CH72" s="428"/>
      <c r="CI72" s="207"/>
      <c r="CJ72" s="428"/>
      <c r="CK72" s="428"/>
      <c r="CL72" s="428"/>
      <c r="CM72" s="428"/>
      <c r="CN72" s="207"/>
      <c r="CO72" s="428"/>
      <c r="CP72" s="428"/>
      <c r="CQ72" s="428"/>
      <c r="CR72" s="428"/>
      <c r="CS72" s="207"/>
      <c r="CT72" s="361"/>
      <c r="CU72" s="361"/>
      <c r="CV72" s="361"/>
      <c r="CW72" s="361"/>
      <c r="CX72" s="361"/>
      <c r="CY72" s="361"/>
      <c r="CZ72" s="361"/>
      <c r="DA72" s="361"/>
      <c r="DB72" s="361"/>
      <c r="DC72" s="361"/>
      <c r="DD72" s="361"/>
      <c r="DE72" s="361"/>
      <c r="DF72" s="361"/>
      <c r="DG72" s="361"/>
      <c r="DH72" s="361"/>
      <c r="DI72" s="361"/>
      <c r="DJ72" s="361"/>
      <c r="DK72" s="361"/>
      <c r="DL72" s="361"/>
      <c r="DM72" s="361"/>
      <c r="DN72" s="361"/>
      <c r="DO72" s="361"/>
      <c r="DP72" s="361"/>
      <c r="DQ72" s="361"/>
      <c r="DR72" s="361"/>
      <c r="DS72" s="361"/>
      <c r="DT72" s="361"/>
      <c r="DU72" s="361"/>
      <c r="DV72" s="361"/>
      <c r="DW72" s="361"/>
      <c r="DX72" s="361"/>
      <c r="DY72" s="361"/>
      <c r="DZ72" s="361"/>
      <c r="EA72" s="361"/>
    </row>
    <row r="73" spans="1:131" s="17" customFormat="1" x14ac:dyDescent="0.25">
      <c r="A73" s="19" t="s">
        <v>421</v>
      </c>
      <c r="B73" s="343">
        <v>47</v>
      </c>
      <c r="C73" s="236">
        <f t="shared" ref="C73:U73" si="159">SUM(C69:C71)</f>
        <v>3312.5682790573192</v>
      </c>
      <c r="D73" s="236">
        <f t="shared" si="159"/>
        <v>12236.759045756382</v>
      </c>
      <c r="E73" s="236">
        <f t="shared" si="159"/>
        <v>4146.8080435716211</v>
      </c>
      <c r="F73" s="236">
        <f t="shared" si="159"/>
        <v>13101.050178488496</v>
      </c>
      <c r="G73" s="236">
        <f t="shared" si="159"/>
        <v>5364.3894577462725</v>
      </c>
      <c r="H73" s="236">
        <f t="shared" si="159"/>
        <v>13851.77478933131</v>
      </c>
      <c r="I73" s="236">
        <f t="shared" si="159"/>
        <v>5328.1655308558893</v>
      </c>
      <c r="J73" s="236">
        <f t="shared" si="159"/>
        <v>13707.70017153299</v>
      </c>
      <c r="K73" s="241">
        <f t="shared" si="159"/>
        <v>71049.215496340286</v>
      </c>
      <c r="L73" s="238">
        <f t="shared" si="159"/>
        <v>0</v>
      </c>
      <c r="M73" s="236">
        <f t="shared" si="159"/>
        <v>32197.635479038814</v>
      </c>
      <c r="N73" s="236">
        <f t="shared" si="159"/>
        <v>0</v>
      </c>
      <c r="O73" s="236">
        <f t="shared" si="159"/>
        <v>29520.067675176997</v>
      </c>
      <c r="P73" s="236">
        <f t="shared" si="159"/>
        <v>0</v>
      </c>
      <c r="Q73" s="236">
        <f t="shared" si="159"/>
        <v>32879.292318179308</v>
      </c>
      <c r="R73" s="236">
        <f t="shared" si="159"/>
        <v>0</v>
      </c>
      <c r="S73" s="236">
        <f t="shared" si="159"/>
        <v>31645.779152316074</v>
      </c>
      <c r="T73" s="239">
        <f t="shared" si="159"/>
        <v>126242.77462471119</v>
      </c>
      <c r="U73" s="238">
        <f t="shared" si="159"/>
        <v>197291.99012105147</v>
      </c>
      <c r="V73" s="343">
        <v>47</v>
      </c>
      <c r="W73" s="236">
        <f t="shared" ref="W73:AO73" si="160">SUM(W69:W71)</f>
        <v>709.90585348127308</v>
      </c>
      <c r="X73" s="236">
        <f t="shared" si="160"/>
        <v>9558.9733658766909</v>
      </c>
      <c r="Y73" s="236">
        <f t="shared" si="160"/>
        <v>565.79670454163681</v>
      </c>
      <c r="Z73" s="236">
        <f t="shared" si="160"/>
        <v>10153.818674471353</v>
      </c>
      <c r="AA73" s="236">
        <f t="shared" si="160"/>
        <v>484.52856158962732</v>
      </c>
      <c r="AB73" s="236">
        <f t="shared" si="160"/>
        <v>10731.143380252453</v>
      </c>
      <c r="AC73" s="236">
        <f t="shared" si="160"/>
        <v>954.75671423193398</v>
      </c>
      <c r="AD73" s="236">
        <f t="shared" si="160"/>
        <v>11171.936519710391</v>
      </c>
      <c r="AE73" s="241">
        <f t="shared" si="160"/>
        <v>44330.859774155353</v>
      </c>
      <c r="AF73" s="238">
        <f t="shared" si="160"/>
        <v>0</v>
      </c>
      <c r="AG73" s="236">
        <f t="shared" si="160"/>
        <v>13876.211625489046</v>
      </c>
      <c r="AH73" s="236">
        <f t="shared" si="160"/>
        <v>0</v>
      </c>
      <c r="AI73" s="236">
        <f t="shared" si="160"/>
        <v>13342.142283927013</v>
      </c>
      <c r="AJ73" s="236">
        <f t="shared" si="160"/>
        <v>0</v>
      </c>
      <c r="AK73" s="236">
        <f t="shared" si="160"/>
        <v>15447.262516674893</v>
      </c>
      <c r="AL73" s="236">
        <f t="shared" si="160"/>
        <v>0</v>
      </c>
      <c r="AM73" s="236">
        <f t="shared" si="160"/>
        <v>15901.620034516118</v>
      </c>
      <c r="AN73" s="239">
        <f t="shared" si="160"/>
        <v>58567.23646060707</v>
      </c>
      <c r="AO73" s="238">
        <f t="shared" si="160"/>
        <v>102898.09623476243</v>
      </c>
      <c r="AP73" s="343">
        <v>47</v>
      </c>
      <c r="AQ73" s="236">
        <f t="shared" ref="AQ73:BI73" si="161">SUM(AQ69:AQ71)</f>
        <v>86894.97653676293</v>
      </c>
      <c r="AR73" s="236">
        <f t="shared" si="161"/>
        <v>278523.08175589959</v>
      </c>
      <c r="AS73" s="236">
        <f t="shared" si="161"/>
        <v>100588.15343186194</v>
      </c>
      <c r="AT73" s="236">
        <f t="shared" si="161"/>
        <v>309012.04053666978</v>
      </c>
      <c r="AU73" s="236">
        <f t="shared" si="161"/>
        <v>109170.59656380842</v>
      </c>
      <c r="AV73" s="236">
        <f t="shared" si="161"/>
        <v>339284.15051832935</v>
      </c>
      <c r="AW73" s="236">
        <f t="shared" si="161"/>
        <v>111535.07491175317</v>
      </c>
      <c r="AX73" s="236">
        <f t="shared" si="161"/>
        <v>334557.25155218109</v>
      </c>
      <c r="AY73" s="241">
        <f t="shared" si="161"/>
        <v>1669565.3258072662</v>
      </c>
      <c r="AZ73" s="238">
        <f t="shared" si="161"/>
        <v>0</v>
      </c>
      <c r="BA73" s="236">
        <f t="shared" si="161"/>
        <v>297756.56430968246</v>
      </c>
      <c r="BB73" s="236">
        <f t="shared" si="161"/>
        <v>0</v>
      </c>
      <c r="BC73" s="236">
        <f t="shared" si="161"/>
        <v>249365.12575163788</v>
      </c>
      <c r="BD73" s="236">
        <f t="shared" si="161"/>
        <v>0</v>
      </c>
      <c r="BE73" s="236">
        <f t="shared" si="161"/>
        <v>294958.73470085202</v>
      </c>
      <c r="BF73" s="236">
        <f t="shared" si="161"/>
        <v>0</v>
      </c>
      <c r="BG73" s="236">
        <f t="shared" si="161"/>
        <v>280421.09618196334</v>
      </c>
      <c r="BH73" s="239">
        <f t="shared" si="161"/>
        <v>1122501.5209441357</v>
      </c>
      <c r="BI73" s="238">
        <f t="shared" si="161"/>
        <v>2792066.8467514021</v>
      </c>
      <c r="BJ73" s="343">
        <v>47</v>
      </c>
      <c r="BK73" s="236">
        <f t="shared" ref="BK73:CC73" si="162">SUM(BK69:BK71)</f>
        <v>2144.7626682260029</v>
      </c>
      <c r="BL73" s="236">
        <f t="shared" si="162"/>
        <v>36480.753877660936</v>
      </c>
      <c r="BM73" s="236">
        <f t="shared" si="162"/>
        <v>1821.5682741666114</v>
      </c>
      <c r="BN73" s="236">
        <f t="shared" si="162"/>
        <v>41138.72750741231</v>
      </c>
      <c r="BO73" s="236">
        <f t="shared" si="162"/>
        <v>2726.4972950062961</v>
      </c>
      <c r="BP73" s="236">
        <f t="shared" si="162"/>
        <v>43482.658051041115</v>
      </c>
      <c r="BQ73" s="236">
        <f t="shared" si="162"/>
        <v>2953.5968826542548</v>
      </c>
      <c r="BR73" s="236">
        <f t="shared" si="162"/>
        <v>41536.742678688366</v>
      </c>
      <c r="BS73" s="241">
        <f t="shared" si="162"/>
        <v>172285.30723485592</v>
      </c>
      <c r="BT73" s="238">
        <f t="shared" si="162"/>
        <v>0</v>
      </c>
      <c r="BU73" s="236">
        <f t="shared" si="162"/>
        <v>12281.098268747732</v>
      </c>
      <c r="BV73" s="236">
        <f t="shared" si="162"/>
        <v>0</v>
      </c>
      <c r="BW73" s="236">
        <f t="shared" si="162"/>
        <v>11890.558787173624</v>
      </c>
      <c r="BX73" s="236">
        <f t="shared" si="162"/>
        <v>0</v>
      </c>
      <c r="BY73" s="236">
        <f t="shared" si="162"/>
        <v>12514.32500676557</v>
      </c>
      <c r="BZ73" s="236">
        <f t="shared" si="162"/>
        <v>0</v>
      </c>
      <c r="CA73" s="236">
        <f t="shared" si="162"/>
        <v>13821.691855720892</v>
      </c>
      <c r="CB73" s="239">
        <f t="shared" si="162"/>
        <v>50507.673918407818</v>
      </c>
      <c r="CC73" s="238">
        <f t="shared" si="162"/>
        <v>222792.98115326374</v>
      </c>
      <c r="CD73" s="343">
        <v>47</v>
      </c>
      <c r="CE73" s="239">
        <f>SUM(CE69:CE71)</f>
        <v>429861.78138272115</v>
      </c>
      <c r="CF73" s="239">
        <f>SUM(CF69:CF71)</f>
        <v>480527.96335118375</v>
      </c>
      <c r="CG73" s="239">
        <f>SUM(CG69:CG71)</f>
        <v>525095.73861710494</v>
      </c>
      <c r="CH73" s="239">
        <f>SUM(CH69:CH71)</f>
        <v>521745.22496160807</v>
      </c>
      <c r="CI73" s="236">
        <f>SUM(BS73,AY73,AE73,K73)</f>
        <v>1957230.7083126176</v>
      </c>
      <c r="CJ73" s="239">
        <f>SUM(CJ69:CJ71)</f>
        <v>356111.50968295807</v>
      </c>
      <c r="CK73" s="239">
        <f>SUM(CK69:CK71)</f>
        <v>304117.89449791552</v>
      </c>
      <c r="CL73" s="239">
        <f>SUM(CL69:CL71)</f>
        <v>355799.61454247171</v>
      </c>
      <c r="CM73" s="239">
        <f>SUM(CM69:CM71)</f>
        <v>341790.18722451641</v>
      </c>
      <c r="CN73" s="236">
        <f>SUM(BX73,BD73,AJ73,P73)</f>
        <v>0</v>
      </c>
      <c r="CO73" s="239">
        <f>SUM(CO69:CO71)</f>
        <v>785973.29106567893</v>
      </c>
      <c r="CP73" s="239">
        <f>SUM(CP69:CP71)</f>
        <v>784645.85784909932</v>
      </c>
      <c r="CQ73" s="239">
        <f>SUM(CQ69:CQ71)</f>
        <v>880895.35315957677</v>
      </c>
      <c r="CR73" s="239">
        <f>SUM(CR69:CR71)</f>
        <v>863535.41218612436</v>
      </c>
      <c r="CS73" s="236">
        <f>SUM(CC73,BI73,AO73,U73)</f>
        <v>3315049.9142604801</v>
      </c>
      <c r="CT73" s="361"/>
      <c r="CU73" s="361"/>
      <c r="CV73" s="361"/>
      <c r="CW73" s="361"/>
      <c r="CX73" s="361"/>
      <c r="CY73" s="361"/>
      <c r="CZ73" s="361"/>
      <c r="DA73" s="361"/>
      <c r="DB73" s="361"/>
      <c r="DC73" s="361"/>
      <c r="DD73" s="361"/>
      <c r="DE73" s="361"/>
      <c r="DF73" s="361"/>
      <c r="DG73" s="361"/>
      <c r="DH73" s="361"/>
      <c r="DI73" s="361"/>
      <c r="DJ73" s="361"/>
      <c r="DK73" s="361"/>
      <c r="DL73" s="361"/>
      <c r="DM73" s="361"/>
      <c r="DN73" s="361"/>
      <c r="DO73" s="361"/>
      <c r="DP73" s="361"/>
      <c r="DQ73" s="361"/>
      <c r="DR73" s="361"/>
      <c r="DS73" s="361"/>
      <c r="DT73" s="361"/>
      <c r="DU73" s="361"/>
      <c r="DV73" s="361"/>
      <c r="DW73" s="361"/>
      <c r="DX73" s="361"/>
      <c r="DY73" s="361"/>
      <c r="DZ73" s="361"/>
      <c r="EA73" s="361"/>
    </row>
    <row r="74" spans="1:131" ht="15.75" customHeight="1" x14ac:dyDescent="0.25">
      <c r="B74" s="343"/>
      <c r="C74" s="198"/>
      <c r="D74" s="198"/>
      <c r="E74" s="198"/>
      <c r="F74" s="198"/>
      <c r="G74" s="198"/>
      <c r="H74" s="198"/>
      <c r="I74" s="198"/>
      <c r="J74" s="198"/>
      <c r="K74" s="429"/>
      <c r="L74" s="430"/>
      <c r="M74" s="198"/>
      <c r="N74" s="198"/>
      <c r="O74" s="198"/>
      <c r="P74" s="198"/>
      <c r="Q74" s="198"/>
      <c r="R74" s="198"/>
      <c r="S74" s="198"/>
      <c r="T74" s="198"/>
      <c r="U74" s="431"/>
      <c r="V74" s="343"/>
      <c r="W74" s="198"/>
      <c r="X74" s="198"/>
      <c r="Y74" s="198"/>
      <c r="Z74" s="198"/>
      <c r="AA74" s="198"/>
      <c r="AB74" s="198"/>
      <c r="AC74" s="198"/>
      <c r="AD74" s="198"/>
      <c r="AE74" s="429"/>
      <c r="AF74" s="430"/>
      <c r="AG74" s="198"/>
      <c r="AH74" s="198"/>
      <c r="AI74" s="198"/>
      <c r="AJ74" s="198"/>
      <c r="AK74" s="198"/>
      <c r="AL74" s="198"/>
      <c r="AM74" s="198"/>
      <c r="AN74" s="198"/>
      <c r="AO74" s="431"/>
      <c r="AP74" s="343"/>
      <c r="AQ74" s="198"/>
      <c r="AR74" s="198"/>
      <c r="AS74" s="198"/>
      <c r="AT74" s="198"/>
      <c r="AU74" s="198"/>
      <c r="AV74" s="198"/>
      <c r="AW74" s="198"/>
      <c r="AX74" s="198"/>
      <c r="AY74" s="429"/>
      <c r="AZ74" s="430"/>
      <c r="BA74" s="198"/>
      <c r="BB74" s="198"/>
      <c r="BC74" s="198"/>
      <c r="BD74" s="198"/>
      <c r="BE74" s="198"/>
      <c r="BF74" s="198"/>
      <c r="BG74" s="198"/>
      <c r="BH74" s="198"/>
      <c r="BI74" s="431"/>
      <c r="BJ74" s="343"/>
      <c r="BK74" s="198"/>
      <c r="BL74" s="198"/>
      <c r="BM74" s="198"/>
      <c r="BN74" s="198"/>
      <c r="BO74" s="198"/>
      <c r="BP74" s="198"/>
      <c r="BQ74" s="198"/>
      <c r="BR74" s="198"/>
      <c r="BS74" s="429"/>
      <c r="BT74" s="430"/>
      <c r="BU74" s="198"/>
      <c r="BV74" s="198"/>
      <c r="BW74" s="198"/>
      <c r="BX74" s="198"/>
      <c r="BY74" s="198"/>
      <c r="BZ74" s="198"/>
      <c r="CA74" s="198"/>
      <c r="CB74" s="198"/>
      <c r="CC74" s="431"/>
      <c r="CD74" s="343"/>
      <c r="CE74" s="198"/>
      <c r="CF74" s="198"/>
      <c r="CG74" s="198"/>
      <c r="CH74" s="198"/>
      <c r="CI74" s="467"/>
      <c r="CJ74" s="198"/>
      <c r="CK74" s="198"/>
      <c r="CL74" s="198"/>
      <c r="CM74" s="198"/>
      <c r="CN74" s="467"/>
      <c r="CO74" s="198"/>
      <c r="CP74" s="198"/>
      <c r="CQ74" s="198"/>
      <c r="CR74" s="198"/>
      <c r="CS74" s="467"/>
    </row>
    <row r="75" spans="1:131" ht="15.75" customHeight="1" x14ac:dyDescent="0.25">
      <c r="A75" s="19" t="s">
        <v>422</v>
      </c>
      <c r="B75" s="343"/>
      <c r="C75" s="198"/>
      <c r="D75" s="198"/>
      <c r="E75" s="198"/>
      <c r="F75" s="198"/>
      <c r="G75" s="198"/>
      <c r="H75" s="198"/>
      <c r="I75" s="198"/>
      <c r="J75" s="198"/>
      <c r="K75" s="429"/>
      <c r="L75" s="430"/>
      <c r="M75" s="198"/>
      <c r="N75" s="198"/>
      <c r="O75" s="198"/>
      <c r="P75" s="198"/>
      <c r="Q75" s="198"/>
      <c r="R75" s="198"/>
      <c r="S75" s="198"/>
      <c r="T75" s="198"/>
      <c r="U75" s="431"/>
      <c r="V75" s="343"/>
      <c r="W75" s="198"/>
      <c r="X75" s="198"/>
      <c r="Y75" s="198"/>
      <c r="Z75" s="198"/>
      <c r="AA75" s="198"/>
      <c r="AB75" s="198"/>
      <c r="AC75" s="198"/>
      <c r="AD75" s="198"/>
      <c r="AE75" s="429"/>
      <c r="AF75" s="430"/>
      <c r="AG75" s="198"/>
      <c r="AH75" s="198"/>
      <c r="AI75" s="198"/>
      <c r="AJ75" s="198"/>
      <c r="AK75" s="198"/>
      <c r="AL75" s="198"/>
      <c r="AM75" s="198"/>
      <c r="AN75" s="198"/>
      <c r="AO75" s="431"/>
      <c r="AP75" s="343"/>
      <c r="AQ75" s="198"/>
      <c r="AR75" s="198"/>
      <c r="AS75" s="198"/>
      <c r="AT75" s="198"/>
      <c r="AU75" s="198"/>
      <c r="AV75" s="198"/>
      <c r="AW75" s="198"/>
      <c r="AX75" s="198"/>
      <c r="AY75" s="429"/>
      <c r="AZ75" s="430"/>
      <c r="BA75" s="198"/>
      <c r="BB75" s="198"/>
      <c r="BC75" s="198"/>
      <c r="BD75" s="198"/>
      <c r="BE75" s="198"/>
      <c r="BF75" s="198"/>
      <c r="BG75" s="198"/>
      <c r="BH75" s="198"/>
      <c r="BI75" s="431"/>
      <c r="BJ75" s="343"/>
      <c r="BK75" s="198"/>
      <c r="BL75" s="198"/>
      <c r="BM75" s="198"/>
      <c r="BN75" s="198"/>
      <c r="BO75" s="198"/>
      <c r="BP75" s="198"/>
      <c r="BQ75" s="198"/>
      <c r="BR75" s="198"/>
      <c r="BS75" s="429"/>
      <c r="BT75" s="430"/>
      <c r="BU75" s="198"/>
      <c r="BV75" s="198"/>
      <c r="BW75" s="198"/>
      <c r="BX75" s="198"/>
      <c r="BY75" s="198"/>
      <c r="BZ75" s="198"/>
      <c r="CA75" s="198"/>
      <c r="CB75" s="198"/>
      <c r="CC75" s="431"/>
      <c r="CD75" s="343"/>
      <c r="CE75" s="198"/>
      <c r="CF75" s="198"/>
      <c r="CG75" s="198"/>
      <c r="CH75" s="198"/>
      <c r="CI75" s="467"/>
      <c r="CJ75" s="198"/>
      <c r="CK75" s="198"/>
      <c r="CL75" s="198"/>
      <c r="CM75" s="198"/>
      <c r="CN75" s="467"/>
      <c r="CO75" s="198"/>
      <c r="CP75" s="198"/>
      <c r="CQ75" s="198"/>
      <c r="CR75" s="198"/>
      <c r="CS75" s="467"/>
    </row>
    <row r="76" spans="1:131" s="17" customFormat="1" ht="15.75" customHeight="1" x14ac:dyDescent="0.25">
      <c r="A76" s="94" t="s">
        <v>258</v>
      </c>
      <c r="B76" s="343">
        <v>48</v>
      </c>
      <c r="C76" s="468"/>
      <c r="D76" s="468"/>
      <c r="E76" s="468"/>
      <c r="F76" s="468"/>
      <c r="G76" s="468"/>
      <c r="H76" s="468"/>
      <c r="I76" s="468"/>
      <c r="J76" s="468"/>
      <c r="K76" s="460">
        <f t="shared" ref="K76:K86" si="163">SUM(C76:J76)</f>
        <v>0</v>
      </c>
      <c r="L76" s="469"/>
      <c r="M76" s="468"/>
      <c r="N76" s="468"/>
      <c r="O76" s="468"/>
      <c r="P76" s="468"/>
      <c r="Q76" s="468"/>
      <c r="R76" s="468"/>
      <c r="S76" s="468"/>
      <c r="T76" s="462">
        <f t="shared" ref="T76:T86" si="164">SUM(L76:S76)</f>
        <v>0</v>
      </c>
      <c r="U76" s="463">
        <f t="shared" ref="U76:U86" si="165">SUM(T76,K76)</f>
        <v>0</v>
      </c>
      <c r="V76" s="343">
        <v>48</v>
      </c>
      <c r="W76" s="468"/>
      <c r="X76" s="468"/>
      <c r="Y76" s="468"/>
      <c r="Z76" s="468"/>
      <c r="AA76" s="468"/>
      <c r="AB76" s="468"/>
      <c r="AC76" s="468"/>
      <c r="AD76" s="468"/>
      <c r="AE76" s="460">
        <f t="shared" ref="AE76:AE86" si="166">SUM(W76:AD76)</f>
        <v>0</v>
      </c>
      <c r="AF76" s="469"/>
      <c r="AG76" s="468"/>
      <c r="AH76" s="468"/>
      <c r="AI76" s="468"/>
      <c r="AJ76" s="468"/>
      <c r="AK76" s="468"/>
      <c r="AL76" s="468"/>
      <c r="AM76" s="468"/>
      <c r="AN76" s="462">
        <f t="shared" ref="AN76:AN86" si="167">SUM(AF76:AM76)</f>
        <v>0</v>
      </c>
      <c r="AO76" s="463">
        <f t="shared" ref="AO76:AO86" si="168">SUM(AN76,AE76)</f>
        <v>0</v>
      </c>
      <c r="AP76" s="343">
        <v>48</v>
      </c>
      <c r="AQ76" s="468"/>
      <c r="AR76" s="468"/>
      <c r="AS76" s="468"/>
      <c r="AT76" s="468"/>
      <c r="AU76" s="468"/>
      <c r="AV76" s="468"/>
      <c r="AW76" s="468"/>
      <c r="AX76" s="468"/>
      <c r="AY76" s="460">
        <f t="shared" ref="AY76:AY86" si="169">SUM(AQ76:AX76)</f>
        <v>0</v>
      </c>
      <c r="AZ76" s="469"/>
      <c r="BA76" s="468"/>
      <c r="BB76" s="468"/>
      <c r="BC76" s="468"/>
      <c r="BD76" s="468"/>
      <c r="BE76" s="468"/>
      <c r="BF76" s="468"/>
      <c r="BG76" s="468"/>
      <c r="BH76" s="462">
        <f t="shared" ref="BH76:BH86" si="170">SUM(AZ76:BG76)</f>
        <v>0</v>
      </c>
      <c r="BI76" s="463">
        <f t="shared" ref="BI76:BI86" si="171">SUM(BH76,AY76)</f>
        <v>0</v>
      </c>
      <c r="BJ76" s="343">
        <v>48</v>
      </c>
      <c r="BK76" s="468"/>
      <c r="BL76" s="468"/>
      <c r="BM76" s="468"/>
      <c r="BN76" s="468"/>
      <c r="BO76" s="468"/>
      <c r="BP76" s="468"/>
      <c r="BQ76" s="468"/>
      <c r="BR76" s="468"/>
      <c r="BS76" s="460">
        <f t="shared" ref="BS76:BS86" si="172">SUM(BK76:BR76)</f>
        <v>0</v>
      </c>
      <c r="BT76" s="469"/>
      <c r="BU76" s="468"/>
      <c r="BV76" s="468"/>
      <c r="BW76" s="468"/>
      <c r="BX76" s="468"/>
      <c r="BY76" s="468"/>
      <c r="BZ76" s="468"/>
      <c r="CA76" s="468"/>
      <c r="CB76" s="462">
        <f t="shared" ref="CB76:CB86" si="173">SUM(BT76:CA76)</f>
        <v>0</v>
      </c>
      <c r="CC76" s="463">
        <f t="shared" ref="CC76:CC86" si="174">SUM(CB76,BS76)</f>
        <v>0</v>
      </c>
      <c r="CD76" s="343">
        <v>48</v>
      </c>
      <c r="CE76" s="462">
        <f t="shared" ref="CE76:CE86" si="175">+C76+D76+W76+X76+AQ76+AR76+BK76+BL76</f>
        <v>0</v>
      </c>
      <c r="CF76" s="462">
        <f t="shared" ref="CF76:CF86" si="176">+E76+F76+Y76+Z76+AS76+AT76+BM76+BN76</f>
        <v>0</v>
      </c>
      <c r="CG76" s="462">
        <f t="shared" ref="CG76:CG86" si="177">+G76+H76+AA76+AB76+AU76+AV76+BO76+BP76</f>
        <v>0</v>
      </c>
      <c r="CH76" s="462">
        <f t="shared" ref="CH76:CH86" si="178">+I76+J76+AC76+AD76+AW76+AX76+BQ76+BR76</f>
        <v>0</v>
      </c>
      <c r="CI76" s="464">
        <f t="shared" ref="CI76:CI86" si="179">SUM(K76,AE76,AY76,BS76)</f>
        <v>0</v>
      </c>
      <c r="CJ76" s="462">
        <f t="shared" ref="CJ76:CJ86" si="180">L76+M76+AF76+AG76+AZ76+BA76+BT76+BU76</f>
        <v>0</v>
      </c>
      <c r="CK76" s="462">
        <f t="shared" ref="CK76:CK86" si="181">N76+O76+AH76+AI76+BB76+BC76+BV76+BW76</f>
        <v>0</v>
      </c>
      <c r="CL76" s="462">
        <f t="shared" ref="CL76:CL86" si="182">P76+Q76+AJ76+AK76+BD76+BE76+BX76+BY76</f>
        <v>0</v>
      </c>
      <c r="CM76" s="462">
        <f t="shared" ref="CM76:CM86" si="183">+R76+S76+AL76+AM76+BF76+BG76+BZ76+CA76</f>
        <v>0</v>
      </c>
      <c r="CN76" s="464">
        <f t="shared" ref="CN76:CN86" si="184">SUM(T76,AN76,BH76,CB76)</f>
        <v>0</v>
      </c>
      <c r="CO76" s="462">
        <f t="shared" ref="CO76:CO86" si="185">+C76+D76+L76+M76+W76+X76+AF76+AG76+AQ76+AR76+AZ76+BA76+BK76+BL76+BT76+BU76</f>
        <v>0</v>
      </c>
      <c r="CP76" s="462">
        <f t="shared" ref="CP76:CP86" si="186">+E76+F76+N76+O76+Y76+Z76+AH76+AI76+AS76+AT76+BB76+BC76+BM76+BN76+BV76+BW76</f>
        <v>0</v>
      </c>
      <c r="CQ76" s="462">
        <f t="shared" ref="CQ76:CQ86" si="187">+G76+H76+P76+Q76+AA76+AB76+AJ76+AK76+AU76+AV76+BD76+BE76+BO76+BP76+BX76+BY76</f>
        <v>0</v>
      </c>
      <c r="CR76" s="462">
        <f t="shared" ref="CR76:CR86" si="188">+I76+J76+R76+S76+AC76+AD76+AL76+AM76+AW76+AX76+BF76+BG76+BQ76+BR76+BZ76+CA76</f>
        <v>0</v>
      </c>
      <c r="CS76" s="464">
        <f t="shared" ref="CS76:CS86" si="189">SUM(CC76,BI76,AO76,U76)</f>
        <v>0</v>
      </c>
      <c r="CT76" s="361"/>
      <c r="CU76" s="361"/>
      <c r="CV76" s="361"/>
      <c r="CW76" s="361"/>
      <c r="CX76" s="361"/>
      <c r="CY76" s="361"/>
      <c r="CZ76" s="361"/>
      <c r="DA76" s="361"/>
      <c r="DB76" s="361"/>
      <c r="DC76" s="361"/>
      <c r="DD76" s="361"/>
      <c r="DE76" s="361"/>
      <c r="DF76" s="361"/>
      <c r="DG76" s="361"/>
      <c r="DH76" s="361"/>
      <c r="DI76" s="361"/>
      <c r="DJ76" s="361"/>
      <c r="DK76" s="361"/>
      <c r="DL76" s="361"/>
      <c r="DM76" s="361"/>
      <c r="DN76" s="361"/>
      <c r="DO76" s="361"/>
      <c r="DP76" s="361"/>
      <c r="DQ76" s="361"/>
      <c r="DR76" s="361"/>
      <c r="DS76" s="361"/>
      <c r="DT76" s="361"/>
      <c r="DU76" s="361"/>
      <c r="DV76" s="361"/>
      <c r="DW76" s="361"/>
      <c r="DX76" s="361"/>
      <c r="DY76" s="361"/>
      <c r="DZ76" s="361"/>
      <c r="EA76" s="361"/>
    </row>
    <row r="77" spans="1:131" ht="15.75" customHeight="1" x14ac:dyDescent="0.25">
      <c r="A77" s="94" t="s">
        <v>330</v>
      </c>
      <c r="B77" s="343">
        <v>49</v>
      </c>
      <c r="C77" s="468"/>
      <c r="D77" s="468"/>
      <c r="E77" s="468"/>
      <c r="F77" s="468"/>
      <c r="G77" s="468"/>
      <c r="H77" s="468"/>
      <c r="I77" s="468"/>
      <c r="J77" s="468"/>
      <c r="K77" s="460">
        <f t="shared" si="163"/>
        <v>0</v>
      </c>
      <c r="L77" s="469"/>
      <c r="M77" s="468"/>
      <c r="N77" s="468"/>
      <c r="O77" s="468"/>
      <c r="P77" s="468"/>
      <c r="Q77" s="468"/>
      <c r="R77" s="468"/>
      <c r="S77" s="468"/>
      <c r="T77" s="462">
        <f t="shared" si="164"/>
        <v>0</v>
      </c>
      <c r="U77" s="463">
        <f t="shared" si="165"/>
        <v>0</v>
      </c>
      <c r="V77" s="343">
        <v>49</v>
      </c>
      <c r="W77" s="468"/>
      <c r="X77" s="468"/>
      <c r="Y77" s="468"/>
      <c r="Z77" s="468"/>
      <c r="AA77" s="468"/>
      <c r="AB77" s="468"/>
      <c r="AC77" s="468"/>
      <c r="AD77" s="468"/>
      <c r="AE77" s="460">
        <f t="shared" si="166"/>
        <v>0</v>
      </c>
      <c r="AF77" s="469"/>
      <c r="AG77" s="468"/>
      <c r="AH77" s="468"/>
      <c r="AI77" s="468"/>
      <c r="AJ77" s="468"/>
      <c r="AK77" s="468"/>
      <c r="AL77" s="468"/>
      <c r="AM77" s="468"/>
      <c r="AN77" s="462">
        <f t="shared" si="167"/>
        <v>0</v>
      </c>
      <c r="AO77" s="463">
        <f t="shared" si="168"/>
        <v>0</v>
      </c>
      <c r="AP77" s="343">
        <v>49</v>
      </c>
      <c r="AQ77" s="468"/>
      <c r="AR77" s="468"/>
      <c r="AS77" s="468"/>
      <c r="AT77" s="468"/>
      <c r="AU77" s="468"/>
      <c r="AV77" s="468"/>
      <c r="AW77" s="468"/>
      <c r="AX77" s="468"/>
      <c r="AY77" s="460">
        <f t="shared" si="169"/>
        <v>0</v>
      </c>
      <c r="AZ77" s="469"/>
      <c r="BA77" s="468"/>
      <c r="BB77" s="468"/>
      <c r="BC77" s="468"/>
      <c r="BD77" s="468"/>
      <c r="BE77" s="468"/>
      <c r="BF77" s="468"/>
      <c r="BG77" s="468"/>
      <c r="BH77" s="462">
        <f t="shared" si="170"/>
        <v>0</v>
      </c>
      <c r="BI77" s="463">
        <f t="shared" si="171"/>
        <v>0</v>
      </c>
      <c r="BJ77" s="343">
        <v>49</v>
      </c>
      <c r="BK77" s="468"/>
      <c r="BL77" s="468"/>
      <c r="BM77" s="468"/>
      <c r="BN77" s="468"/>
      <c r="BO77" s="468"/>
      <c r="BP77" s="468"/>
      <c r="BQ77" s="468"/>
      <c r="BR77" s="468"/>
      <c r="BS77" s="460">
        <f t="shared" si="172"/>
        <v>0</v>
      </c>
      <c r="BT77" s="469"/>
      <c r="BU77" s="468"/>
      <c r="BV77" s="468"/>
      <c r="BW77" s="468"/>
      <c r="BX77" s="468"/>
      <c r="BY77" s="468"/>
      <c r="BZ77" s="468"/>
      <c r="CA77" s="468"/>
      <c r="CB77" s="462">
        <f t="shared" si="173"/>
        <v>0</v>
      </c>
      <c r="CC77" s="463">
        <f t="shared" si="174"/>
        <v>0</v>
      </c>
      <c r="CD77" s="343">
        <v>49</v>
      </c>
      <c r="CE77" s="462">
        <f t="shared" si="175"/>
        <v>0</v>
      </c>
      <c r="CF77" s="462">
        <f t="shared" si="176"/>
        <v>0</v>
      </c>
      <c r="CG77" s="462">
        <f t="shared" si="177"/>
        <v>0</v>
      </c>
      <c r="CH77" s="462">
        <f t="shared" si="178"/>
        <v>0</v>
      </c>
      <c r="CI77" s="464">
        <f t="shared" si="179"/>
        <v>0</v>
      </c>
      <c r="CJ77" s="462">
        <f t="shared" si="180"/>
        <v>0</v>
      </c>
      <c r="CK77" s="462">
        <f t="shared" si="181"/>
        <v>0</v>
      </c>
      <c r="CL77" s="462">
        <f t="shared" si="182"/>
        <v>0</v>
      </c>
      <c r="CM77" s="462">
        <f t="shared" si="183"/>
        <v>0</v>
      </c>
      <c r="CN77" s="464">
        <f t="shared" si="184"/>
        <v>0</v>
      </c>
      <c r="CO77" s="462">
        <f t="shared" si="185"/>
        <v>0</v>
      </c>
      <c r="CP77" s="462">
        <f t="shared" si="186"/>
        <v>0</v>
      </c>
      <c r="CQ77" s="462">
        <f t="shared" si="187"/>
        <v>0</v>
      </c>
      <c r="CR77" s="462">
        <f t="shared" si="188"/>
        <v>0</v>
      </c>
      <c r="CS77" s="464">
        <f t="shared" si="189"/>
        <v>0</v>
      </c>
    </row>
    <row r="78" spans="1:131" ht="15.75" customHeight="1" x14ac:dyDescent="0.25">
      <c r="A78" s="94" t="s">
        <v>1332</v>
      </c>
      <c r="B78" s="343">
        <v>50</v>
      </c>
      <c r="C78" s="468"/>
      <c r="D78" s="468"/>
      <c r="E78" s="468"/>
      <c r="F78" s="468"/>
      <c r="G78" s="468"/>
      <c r="H78" s="468"/>
      <c r="I78" s="468"/>
      <c r="J78" s="468"/>
      <c r="K78" s="460">
        <f t="shared" si="163"/>
        <v>0</v>
      </c>
      <c r="L78" s="469"/>
      <c r="M78" s="468"/>
      <c r="N78" s="468"/>
      <c r="O78" s="468"/>
      <c r="P78" s="468"/>
      <c r="Q78" s="468"/>
      <c r="R78" s="468"/>
      <c r="S78" s="468"/>
      <c r="T78" s="462">
        <f t="shared" si="164"/>
        <v>0</v>
      </c>
      <c r="U78" s="463">
        <f t="shared" si="165"/>
        <v>0</v>
      </c>
      <c r="V78" s="343">
        <v>50</v>
      </c>
      <c r="W78" s="468"/>
      <c r="X78" s="468"/>
      <c r="Y78" s="468"/>
      <c r="Z78" s="468"/>
      <c r="AA78" s="468"/>
      <c r="AB78" s="468"/>
      <c r="AC78" s="468"/>
      <c r="AD78" s="468"/>
      <c r="AE78" s="460">
        <f t="shared" si="166"/>
        <v>0</v>
      </c>
      <c r="AF78" s="469"/>
      <c r="AG78" s="468"/>
      <c r="AH78" s="468"/>
      <c r="AI78" s="468"/>
      <c r="AJ78" s="468"/>
      <c r="AK78" s="468"/>
      <c r="AL78" s="468"/>
      <c r="AM78" s="468"/>
      <c r="AN78" s="462">
        <f t="shared" si="167"/>
        <v>0</v>
      </c>
      <c r="AO78" s="463">
        <f t="shared" si="168"/>
        <v>0</v>
      </c>
      <c r="AP78" s="343">
        <v>50</v>
      </c>
      <c r="AQ78" s="468"/>
      <c r="AR78" s="468"/>
      <c r="AS78" s="468"/>
      <c r="AT78" s="468"/>
      <c r="AU78" s="468"/>
      <c r="AV78" s="468"/>
      <c r="AW78" s="468"/>
      <c r="AX78" s="468"/>
      <c r="AY78" s="460">
        <f t="shared" si="169"/>
        <v>0</v>
      </c>
      <c r="AZ78" s="469"/>
      <c r="BA78" s="468"/>
      <c r="BB78" s="468"/>
      <c r="BC78" s="468"/>
      <c r="BD78" s="468"/>
      <c r="BE78" s="468"/>
      <c r="BF78" s="468"/>
      <c r="BG78" s="468"/>
      <c r="BH78" s="462">
        <f t="shared" si="170"/>
        <v>0</v>
      </c>
      <c r="BI78" s="463">
        <f t="shared" si="171"/>
        <v>0</v>
      </c>
      <c r="BJ78" s="343">
        <v>50</v>
      </c>
      <c r="BK78" s="468"/>
      <c r="BL78" s="468"/>
      <c r="BM78" s="468"/>
      <c r="BN78" s="468"/>
      <c r="BO78" s="468"/>
      <c r="BP78" s="468"/>
      <c r="BQ78" s="468"/>
      <c r="BR78" s="468"/>
      <c r="BS78" s="460">
        <f t="shared" si="172"/>
        <v>0</v>
      </c>
      <c r="BT78" s="469"/>
      <c r="BU78" s="468"/>
      <c r="BV78" s="468"/>
      <c r="BW78" s="468"/>
      <c r="BX78" s="468"/>
      <c r="BY78" s="468"/>
      <c r="BZ78" s="468"/>
      <c r="CA78" s="468"/>
      <c r="CB78" s="462">
        <f t="shared" si="173"/>
        <v>0</v>
      </c>
      <c r="CC78" s="463">
        <f t="shared" si="174"/>
        <v>0</v>
      </c>
      <c r="CD78" s="343">
        <v>50</v>
      </c>
      <c r="CE78" s="462">
        <f t="shared" si="175"/>
        <v>0</v>
      </c>
      <c r="CF78" s="462">
        <f t="shared" si="176"/>
        <v>0</v>
      </c>
      <c r="CG78" s="462">
        <f t="shared" si="177"/>
        <v>0</v>
      </c>
      <c r="CH78" s="462">
        <f t="shared" si="178"/>
        <v>0</v>
      </c>
      <c r="CI78" s="464">
        <f t="shared" si="179"/>
        <v>0</v>
      </c>
      <c r="CJ78" s="462">
        <f t="shared" si="180"/>
        <v>0</v>
      </c>
      <c r="CK78" s="462">
        <f t="shared" si="181"/>
        <v>0</v>
      </c>
      <c r="CL78" s="462">
        <f t="shared" si="182"/>
        <v>0</v>
      </c>
      <c r="CM78" s="462">
        <f t="shared" si="183"/>
        <v>0</v>
      </c>
      <c r="CN78" s="464">
        <f t="shared" si="184"/>
        <v>0</v>
      </c>
      <c r="CO78" s="462">
        <f t="shared" si="185"/>
        <v>0</v>
      </c>
      <c r="CP78" s="462">
        <f t="shared" si="186"/>
        <v>0</v>
      </c>
      <c r="CQ78" s="462">
        <f t="shared" si="187"/>
        <v>0</v>
      </c>
      <c r="CR78" s="462">
        <f t="shared" si="188"/>
        <v>0</v>
      </c>
      <c r="CS78" s="464">
        <f t="shared" si="189"/>
        <v>0</v>
      </c>
    </row>
    <row r="79" spans="1:131" ht="15.75" customHeight="1" x14ac:dyDescent="0.25">
      <c r="A79" s="94" t="s">
        <v>332</v>
      </c>
      <c r="B79" s="343">
        <v>51</v>
      </c>
      <c r="C79" s="468">
        <v>922.4844110353805</v>
      </c>
      <c r="D79" s="468">
        <v>3407.6941244268664</v>
      </c>
      <c r="E79" s="468">
        <v>1070.9095560965945</v>
      </c>
      <c r="F79" s="468">
        <v>3383.3347682426929</v>
      </c>
      <c r="G79" s="468">
        <v>1286.8944184091952</v>
      </c>
      <c r="H79" s="468">
        <v>3322.9823825917297</v>
      </c>
      <c r="I79" s="468">
        <v>1338.3863561809264</v>
      </c>
      <c r="J79" s="468">
        <v>3443.2486712273112</v>
      </c>
      <c r="K79" s="460">
        <f t="shared" si="163"/>
        <v>18175.934688210698</v>
      </c>
      <c r="L79" s="469">
        <v>0</v>
      </c>
      <c r="M79" s="468">
        <v>9332.4069090902231</v>
      </c>
      <c r="N79" s="468">
        <v>0</v>
      </c>
      <c r="O79" s="468">
        <v>7884.3683995011434</v>
      </c>
      <c r="P79" s="468">
        <v>0</v>
      </c>
      <c r="Q79" s="468">
        <v>8136.913329181175</v>
      </c>
      <c r="R79" s="468">
        <v>0</v>
      </c>
      <c r="S79" s="468">
        <v>8195.1180416463303</v>
      </c>
      <c r="T79" s="462">
        <f t="shared" si="164"/>
        <v>33548.806679418871</v>
      </c>
      <c r="U79" s="463">
        <f t="shared" si="165"/>
        <v>51724.741367629569</v>
      </c>
      <c r="V79" s="343">
        <v>51</v>
      </c>
      <c r="W79" s="468">
        <v>197.69466708942954</v>
      </c>
      <c r="X79" s="468">
        <v>2661.9840476263475</v>
      </c>
      <c r="Y79" s="468">
        <v>146.11650487195627</v>
      </c>
      <c r="Z79" s="468">
        <v>2622.2148059686574</v>
      </c>
      <c r="AA79" s="468">
        <v>116.2363594927152</v>
      </c>
      <c r="AB79" s="468">
        <v>2574.3560619473665</v>
      </c>
      <c r="AC79" s="468">
        <v>239.82613760779458</v>
      </c>
      <c r="AD79" s="468">
        <v>2806.2880786096634</v>
      </c>
      <c r="AE79" s="460">
        <f t="shared" si="166"/>
        <v>11364.716663213931</v>
      </c>
      <c r="AF79" s="469">
        <v>0</v>
      </c>
      <c r="AG79" s="468">
        <v>4021.9864384146363</v>
      </c>
      <c r="AH79" s="468">
        <v>0</v>
      </c>
      <c r="AI79" s="468">
        <v>3563.4865801306614</v>
      </c>
      <c r="AJ79" s="468">
        <v>0</v>
      </c>
      <c r="AK79" s="468">
        <v>3822.863188627563</v>
      </c>
      <c r="AL79" s="468">
        <v>0</v>
      </c>
      <c r="AM79" s="468">
        <v>4117.9473764585855</v>
      </c>
      <c r="AN79" s="462">
        <f t="shared" si="167"/>
        <v>15526.283583631446</v>
      </c>
      <c r="AO79" s="463">
        <f t="shared" si="168"/>
        <v>26891.000246845375</v>
      </c>
      <c r="AP79" s="343">
        <v>51</v>
      </c>
      <c r="AQ79" s="468">
        <v>24198.523471721601</v>
      </c>
      <c r="AR79" s="468">
        <v>77563.141160811778</v>
      </c>
      <c r="AS79" s="468">
        <v>25976.802786249085</v>
      </c>
      <c r="AT79" s="468">
        <v>79802.089627135254</v>
      </c>
      <c r="AU79" s="468">
        <v>26189.565928979224</v>
      </c>
      <c r="AV79" s="468">
        <v>81392.837525294162</v>
      </c>
      <c r="AW79" s="468">
        <v>28016.588755178727</v>
      </c>
      <c r="AX79" s="468">
        <v>84037.715841553887</v>
      </c>
      <c r="AY79" s="460">
        <f t="shared" si="169"/>
        <v>427177.26509692369</v>
      </c>
      <c r="AZ79" s="469">
        <v>0</v>
      </c>
      <c r="BA79" s="468">
        <v>86304.021293727681</v>
      </c>
      <c r="BB79" s="468">
        <v>0</v>
      </c>
      <c r="BC79" s="468">
        <v>66601.694110176337</v>
      </c>
      <c r="BD79" s="468">
        <v>0</v>
      </c>
      <c r="BE79" s="468">
        <v>72995.903826639289</v>
      </c>
      <c r="BF79" s="468">
        <v>0</v>
      </c>
      <c r="BG79" s="468">
        <v>72618.97308699564</v>
      </c>
      <c r="BH79" s="462">
        <f t="shared" si="170"/>
        <v>298520.59231753898</v>
      </c>
      <c r="BI79" s="463">
        <f t="shared" si="171"/>
        <v>725697.8574144626</v>
      </c>
      <c r="BJ79" s="343">
        <v>51</v>
      </c>
      <c r="BK79" s="468">
        <v>597.27376468513853</v>
      </c>
      <c r="BL79" s="468">
        <v>10159.164708459255</v>
      </c>
      <c r="BM79" s="468">
        <v>470.41841613851244</v>
      </c>
      <c r="BN79" s="468">
        <v>10624.040454835385</v>
      </c>
      <c r="BO79" s="468">
        <v>654.07520807139122</v>
      </c>
      <c r="BP79" s="468">
        <v>10431.306374050957</v>
      </c>
      <c r="BQ79" s="468">
        <v>741.91647134656</v>
      </c>
      <c r="BR79" s="468">
        <v>10433.649134850444</v>
      </c>
      <c r="BS79" s="460">
        <f t="shared" si="172"/>
        <v>44111.844532437637</v>
      </c>
      <c r="BT79" s="469">
        <v>0</v>
      </c>
      <c r="BU79" s="468">
        <v>3559.646683033347</v>
      </c>
      <c r="BV79" s="468">
        <v>0</v>
      </c>
      <c r="BW79" s="468">
        <v>3175.7903466066587</v>
      </c>
      <c r="BX79" s="468">
        <v>0</v>
      </c>
      <c r="BY79" s="468">
        <v>3097.0246247348305</v>
      </c>
      <c r="BZ79" s="468">
        <v>0</v>
      </c>
      <c r="CA79" s="468">
        <v>3579.320823409224</v>
      </c>
      <c r="CB79" s="462">
        <f t="shared" si="173"/>
        <v>13411.78247778406</v>
      </c>
      <c r="CC79" s="463">
        <f t="shared" si="174"/>
        <v>57523.627010221695</v>
      </c>
      <c r="CD79" s="343">
        <v>51</v>
      </c>
      <c r="CE79" s="462">
        <f t="shared" si="175"/>
        <v>119707.9603558558</v>
      </c>
      <c r="CF79" s="462">
        <f t="shared" si="176"/>
        <v>124095.92691953813</v>
      </c>
      <c r="CG79" s="462">
        <f t="shared" si="177"/>
        <v>125968.25425883674</v>
      </c>
      <c r="CH79" s="462">
        <f t="shared" si="178"/>
        <v>131057.61944655531</v>
      </c>
      <c r="CI79" s="464">
        <f t="shared" si="179"/>
        <v>500829.76098078594</v>
      </c>
      <c r="CJ79" s="462">
        <f t="shared" si="180"/>
        <v>103218.06132426589</v>
      </c>
      <c r="CK79" s="462">
        <f t="shared" si="181"/>
        <v>81225.339436414797</v>
      </c>
      <c r="CL79" s="462">
        <f t="shared" si="182"/>
        <v>88052.704969182858</v>
      </c>
      <c r="CM79" s="462">
        <f t="shared" si="183"/>
        <v>88511.359328509789</v>
      </c>
      <c r="CN79" s="464">
        <f t="shared" si="184"/>
        <v>361007.4650583734</v>
      </c>
      <c r="CO79" s="462">
        <f t="shared" si="185"/>
        <v>222926.02168012169</v>
      </c>
      <c r="CP79" s="462">
        <f t="shared" si="186"/>
        <v>205321.26635595295</v>
      </c>
      <c r="CQ79" s="462">
        <f t="shared" si="187"/>
        <v>214020.95922801961</v>
      </c>
      <c r="CR79" s="462">
        <f t="shared" si="188"/>
        <v>219568.9787750651</v>
      </c>
      <c r="CS79" s="464">
        <f t="shared" si="189"/>
        <v>861837.22603915934</v>
      </c>
    </row>
    <row r="80" spans="1:131" ht="15.75" customHeight="1" x14ac:dyDescent="0.25">
      <c r="A80" s="94" t="s">
        <v>141</v>
      </c>
      <c r="B80" s="343">
        <v>52</v>
      </c>
      <c r="C80" s="468"/>
      <c r="D80" s="468"/>
      <c r="E80" s="468"/>
      <c r="F80" s="468"/>
      <c r="G80" s="468"/>
      <c r="H80" s="468"/>
      <c r="I80" s="468"/>
      <c r="J80" s="468"/>
      <c r="K80" s="460">
        <f t="shared" si="163"/>
        <v>0</v>
      </c>
      <c r="L80" s="469"/>
      <c r="M80" s="468"/>
      <c r="N80" s="468"/>
      <c r="O80" s="468"/>
      <c r="P80" s="468"/>
      <c r="Q80" s="468"/>
      <c r="R80" s="468"/>
      <c r="S80" s="468"/>
      <c r="T80" s="462">
        <f t="shared" si="164"/>
        <v>0</v>
      </c>
      <c r="U80" s="463">
        <f t="shared" si="165"/>
        <v>0</v>
      </c>
      <c r="V80" s="343">
        <v>52</v>
      </c>
      <c r="W80" s="468"/>
      <c r="X80" s="468"/>
      <c r="Y80" s="468"/>
      <c r="Z80" s="468"/>
      <c r="AA80" s="468"/>
      <c r="AB80" s="468"/>
      <c r="AC80" s="468"/>
      <c r="AD80" s="468"/>
      <c r="AE80" s="460">
        <f t="shared" si="166"/>
        <v>0</v>
      </c>
      <c r="AF80" s="469"/>
      <c r="AG80" s="468"/>
      <c r="AH80" s="468"/>
      <c r="AI80" s="468"/>
      <c r="AJ80" s="468"/>
      <c r="AK80" s="468"/>
      <c r="AL80" s="468"/>
      <c r="AM80" s="468"/>
      <c r="AN80" s="462">
        <f t="shared" si="167"/>
        <v>0</v>
      </c>
      <c r="AO80" s="463">
        <f t="shared" si="168"/>
        <v>0</v>
      </c>
      <c r="AP80" s="343">
        <v>52</v>
      </c>
      <c r="AQ80" s="468"/>
      <c r="AR80" s="468"/>
      <c r="AS80" s="468"/>
      <c r="AT80" s="468"/>
      <c r="AU80" s="468"/>
      <c r="AV80" s="468"/>
      <c r="AW80" s="468"/>
      <c r="AX80" s="468"/>
      <c r="AY80" s="460">
        <f t="shared" si="169"/>
        <v>0</v>
      </c>
      <c r="AZ80" s="469"/>
      <c r="BA80" s="468"/>
      <c r="BB80" s="468"/>
      <c r="BC80" s="468"/>
      <c r="BD80" s="468"/>
      <c r="BE80" s="468"/>
      <c r="BF80" s="468"/>
      <c r="BG80" s="468"/>
      <c r="BH80" s="462">
        <f t="shared" si="170"/>
        <v>0</v>
      </c>
      <c r="BI80" s="463">
        <f t="shared" si="171"/>
        <v>0</v>
      </c>
      <c r="BJ80" s="343">
        <v>52</v>
      </c>
      <c r="BK80" s="468"/>
      <c r="BL80" s="468"/>
      <c r="BM80" s="468"/>
      <c r="BN80" s="468"/>
      <c r="BO80" s="468"/>
      <c r="BP80" s="468"/>
      <c r="BQ80" s="468"/>
      <c r="BR80" s="468"/>
      <c r="BS80" s="460">
        <f t="shared" si="172"/>
        <v>0</v>
      </c>
      <c r="BT80" s="469"/>
      <c r="BU80" s="468"/>
      <c r="BV80" s="468"/>
      <c r="BW80" s="468"/>
      <c r="BX80" s="468"/>
      <c r="BY80" s="468"/>
      <c r="BZ80" s="468"/>
      <c r="CA80" s="468"/>
      <c r="CB80" s="462">
        <f t="shared" si="173"/>
        <v>0</v>
      </c>
      <c r="CC80" s="463">
        <f t="shared" si="174"/>
        <v>0</v>
      </c>
      <c r="CD80" s="343">
        <v>52</v>
      </c>
      <c r="CE80" s="462">
        <f t="shared" si="175"/>
        <v>0</v>
      </c>
      <c r="CF80" s="462">
        <f t="shared" si="176"/>
        <v>0</v>
      </c>
      <c r="CG80" s="462">
        <f t="shared" si="177"/>
        <v>0</v>
      </c>
      <c r="CH80" s="462">
        <f t="shared" si="178"/>
        <v>0</v>
      </c>
      <c r="CI80" s="464">
        <f t="shared" si="179"/>
        <v>0</v>
      </c>
      <c r="CJ80" s="462">
        <f t="shared" si="180"/>
        <v>0</v>
      </c>
      <c r="CK80" s="462">
        <f t="shared" si="181"/>
        <v>0</v>
      </c>
      <c r="CL80" s="462">
        <f t="shared" si="182"/>
        <v>0</v>
      </c>
      <c r="CM80" s="462">
        <f t="shared" si="183"/>
        <v>0</v>
      </c>
      <c r="CN80" s="464">
        <f t="shared" si="184"/>
        <v>0</v>
      </c>
      <c r="CO80" s="462">
        <f t="shared" si="185"/>
        <v>0</v>
      </c>
      <c r="CP80" s="462">
        <f t="shared" si="186"/>
        <v>0</v>
      </c>
      <c r="CQ80" s="462">
        <f t="shared" si="187"/>
        <v>0</v>
      </c>
      <c r="CR80" s="462">
        <f t="shared" si="188"/>
        <v>0</v>
      </c>
      <c r="CS80" s="464">
        <f t="shared" si="189"/>
        <v>0</v>
      </c>
    </row>
    <row r="81" spans="1:131" ht="15.75" customHeight="1" x14ac:dyDescent="0.25">
      <c r="A81" s="94" t="s">
        <v>257</v>
      </c>
      <c r="B81" s="343">
        <v>53</v>
      </c>
      <c r="C81" s="468">
        <v>3461.7287366422902</v>
      </c>
      <c r="D81" s="468">
        <v>12787.763711882535</v>
      </c>
      <c r="E81" s="468">
        <v>7822.7278360264554</v>
      </c>
      <c r="F81" s="468">
        <v>24714.418616823841</v>
      </c>
      <c r="G81" s="468">
        <v>9197.8533243614274</v>
      </c>
      <c r="H81" s="468">
        <v>23750.436801410724</v>
      </c>
      <c r="I81" s="468">
        <v>9977.3403102625452</v>
      </c>
      <c r="J81" s="468">
        <v>25668.56992156163</v>
      </c>
      <c r="K81" s="460">
        <f t="shared" si="163"/>
        <v>117380.83925897145</v>
      </c>
      <c r="L81" s="469">
        <v>0</v>
      </c>
      <c r="M81" s="468">
        <v>35020.929126571034</v>
      </c>
      <c r="N81" s="468">
        <v>0</v>
      </c>
      <c r="O81" s="468">
        <v>57593.349314273699</v>
      </c>
      <c r="P81" s="468">
        <v>0</v>
      </c>
      <c r="Q81" s="468">
        <v>58157.168330379885</v>
      </c>
      <c r="R81" s="468">
        <v>0</v>
      </c>
      <c r="S81" s="468">
        <v>61092.584519162956</v>
      </c>
      <c r="T81" s="462">
        <f t="shared" si="164"/>
        <v>211864.03129038756</v>
      </c>
      <c r="U81" s="463">
        <f t="shared" si="165"/>
        <v>329244.87054935901</v>
      </c>
      <c r="V81" s="343">
        <v>53</v>
      </c>
      <c r="W81" s="468">
        <v>741.87195139296648</v>
      </c>
      <c r="X81" s="468">
        <v>9989.4009740594483</v>
      </c>
      <c r="Y81" s="468">
        <v>1067.344710351663</v>
      </c>
      <c r="Z81" s="468">
        <v>19154.626679642308</v>
      </c>
      <c r="AA81" s="468">
        <v>830.77909910693984</v>
      </c>
      <c r="AB81" s="468">
        <v>18399.760791365468</v>
      </c>
      <c r="AC81" s="468">
        <v>1787.8447274647447</v>
      </c>
      <c r="AD81" s="468">
        <v>20920.185744284747</v>
      </c>
      <c r="AE81" s="460">
        <f t="shared" si="166"/>
        <v>72891.814677668299</v>
      </c>
      <c r="AF81" s="469">
        <v>0</v>
      </c>
      <c r="AG81" s="468">
        <v>15092.966196164292</v>
      </c>
      <c r="AH81" s="468">
        <v>0</v>
      </c>
      <c r="AI81" s="468">
        <v>26030.382776022638</v>
      </c>
      <c r="AJ81" s="468">
        <v>0</v>
      </c>
      <c r="AK81" s="468">
        <v>27323.247645725987</v>
      </c>
      <c r="AL81" s="468">
        <v>0</v>
      </c>
      <c r="AM81" s="468">
        <v>30698.282424156754</v>
      </c>
      <c r="AN81" s="462">
        <f t="shared" si="167"/>
        <v>99144.879042069675</v>
      </c>
      <c r="AO81" s="463">
        <f t="shared" si="168"/>
        <v>172036.69371973799</v>
      </c>
      <c r="AP81" s="343">
        <v>53</v>
      </c>
      <c r="AQ81" s="468">
        <v>90807.739495945585</v>
      </c>
      <c r="AR81" s="468">
        <v>291064.59843506943</v>
      </c>
      <c r="AS81" s="468">
        <v>189754.08062250135</v>
      </c>
      <c r="AT81" s="468">
        <v>582934.40780816111</v>
      </c>
      <c r="AU81" s="468">
        <v>187185.35304646025</v>
      </c>
      <c r="AV81" s="468">
        <v>581741.1051768125</v>
      </c>
      <c r="AW81" s="468">
        <v>208856.76176551322</v>
      </c>
      <c r="AX81" s="468">
        <v>626480.45235674677</v>
      </c>
      <c r="AY81" s="460">
        <f t="shared" si="169"/>
        <v>2758824.4987072106</v>
      </c>
      <c r="AZ81" s="469">
        <v>0</v>
      </c>
      <c r="BA81" s="468">
        <v>323865.75537353632</v>
      </c>
      <c r="BB81" s="468">
        <v>0</v>
      </c>
      <c r="BC81" s="468">
        <v>486508.80317217152</v>
      </c>
      <c r="BD81" s="468">
        <v>0</v>
      </c>
      <c r="BE81" s="468">
        <v>521725.48662273679</v>
      </c>
      <c r="BF81" s="468">
        <v>0</v>
      </c>
      <c r="BG81" s="468">
        <v>541356.54037764773</v>
      </c>
      <c r="BH81" s="462">
        <f t="shared" si="170"/>
        <v>1873456.5855460921</v>
      </c>
      <c r="BI81" s="463">
        <f t="shared" si="171"/>
        <v>4632281.0842533028</v>
      </c>
      <c r="BJ81" s="343">
        <v>53</v>
      </c>
      <c r="BK81" s="468">
        <v>2241.3384227625388</v>
      </c>
      <c r="BL81" s="468">
        <v>38123.432754905138</v>
      </c>
      <c r="BM81" s="468">
        <v>3436.2894770679322</v>
      </c>
      <c r="BN81" s="468">
        <v>77605.971973991444</v>
      </c>
      <c r="BO81" s="468">
        <v>4674.88842975842</v>
      </c>
      <c r="BP81" s="468">
        <v>74555.94230379918</v>
      </c>
      <c r="BQ81" s="468">
        <v>5530.8043766497503</v>
      </c>
      <c r="BR81" s="468">
        <v>77780.28191599912</v>
      </c>
      <c r="BS81" s="460">
        <f t="shared" si="172"/>
        <v>283948.94965493353</v>
      </c>
      <c r="BT81" s="469">
        <v>0</v>
      </c>
      <c r="BU81" s="468">
        <v>13357.98314588249</v>
      </c>
      <c r="BV81" s="468">
        <v>0</v>
      </c>
      <c r="BW81" s="468">
        <v>23198.358259437529</v>
      </c>
      <c r="BX81" s="468">
        <v>0</v>
      </c>
      <c r="BY81" s="468">
        <v>22135.443151163585</v>
      </c>
      <c r="BZ81" s="468">
        <v>0</v>
      </c>
      <c r="CA81" s="468">
        <v>26682.954267904479</v>
      </c>
      <c r="CB81" s="462">
        <f t="shared" si="173"/>
        <v>85374.738824388085</v>
      </c>
      <c r="CC81" s="463">
        <f t="shared" si="174"/>
        <v>369323.6884793216</v>
      </c>
      <c r="CD81" s="343">
        <v>53</v>
      </c>
      <c r="CE81" s="462">
        <f t="shared" si="175"/>
        <v>449217.87448265991</v>
      </c>
      <c r="CF81" s="462">
        <f t="shared" si="176"/>
        <v>906489.86772456614</v>
      </c>
      <c r="CG81" s="462">
        <f t="shared" si="177"/>
        <v>900336.11897307483</v>
      </c>
      <c r="CH81" s="462">
        <f t="shared" si="178"/>
        <v>977002.24111848255</v>
      </c>
      <c r="CI81" s="464">
        <f t="shared" si="179"/>
        <v>3233046.1022987841</v>
      </c>
      <c r="CJ81" s="462">
        <f t="shared" si="180"/>
        <v>387337.63384215411</v>
      </c>
      <c r="CK81" s="462">
        <f t="shared" si="181"/>
        <v>593330.89352190529</v>
      </c>
      <c r="CL81" s="462">
        <f t="shared" si="182"/>
        <v>629341.34575000627</v>
      </c>
      <c r="CM81" s="462">
        <f t="shared" si="183"/>
        <v>659830.36158887192</v>
      </c>
      <c r="CN81" s="464">
        <f t="shared" si="184"/>
        <v>2269840.2347029373</v>
      </c>
      <c r="CO81" s="462">
        <f t="shared" si="185"/>
        <v>836555.50832481415</v>
      </c>
      <c r="CP81" s="462">
        <f t="shared" si="186"/>
        <v>1499820.7612464717</v>
      </c>
      <c r="CQ81" s="462">
        <f t="shared" si="187"/>
        <v>1529677.4647230811</v>
      </c>
      <c r="CR81" s="462">
        <f t="shared" si="188"/>
        <v>1636832.6027073541</v>
      </c>
      <c r="CS81" s="464">
        <f t="shared" si="189"/>
        <v>5502886.3370017223</v>
      </c>
    </row>
    <row r="82" spans="1:131" ht="15.75" customHeight="1" x14ac:dyDescent="0.25">
      <c r="A82" s="94" t="s">
        <v>333</v>
      </c>
      <c r="B82" s="343">
        <v>54</v>
      </c>
      <c r="C82" s="468"/>
      <c r="D82" s="468"/>
      <c r="E82" s="468"/>
      <c r="F82" s="468"/>
      <c r="G82" s="468"/>
      <c r="H82" s="468"/>
      <c r="I82" s="468"/>
      <c r="J82" s="468"/>
      <c r="K82" s="460">
        <f t="shared" si="163"/>
        <v>0</v>
      </c>
      <c r="L82" s="469"/>
      <c r="M82" s="468"/>
      <c r="N82" s="468"/>
      <c r="O82" s="468"/>
      <c r="P82" s="468"/>
      <c r="Q82" s="468"/>
      <c r="R82" s="468"/>
      <c r="S82" s="468"/>
      <c r="T82" s="462">
        <f t="shared" si="164"/>
        <v>0</v>
      </c>
      <c r="U82" s="463">
        <f t="shared" si="165"/>
        <v>0</v>
      </c>
      <c r="V82" s="343">
        <v>54</v>
      </c>
      <c r="W82" s="468"/>
      <c r="X82" s="468"/>
      <c r="Y82" s="468"/>
      <c r="Z82" s="468"/>
      <c r="AA82" s="468"/>
      <c r="AB82" s="468"/>
      <c r="AC82" s="468"/>
      <c r="AD82" s="468"/>
      <c r="AE82" s="460">
        <f t="shared" si="166"/>
        <v>0</v>
      </c>
      <c r="AF82" s="469"/>
      <c r="AG82" s="468"/>
      <c r="AH82" s="468"/>
      <c r="AI82" s="468"/>
      <c r="AJ82" s="468"/>
      <c r="AK82" s="468"/>
      <c r="AL82" s="468"/>
      <c r="AM82" s="468"/>
      <c r="AN82" s="462">
        <f t="shared" si="167"/>
        <v>0</v>
      </c>
      <c r="AO82" s="463">
        <f t="shared" si="168"/>
        <v>0</v>
      </c>
      <c r="AP82" s="343">
        <v>54</v>
      </c>
      <c r="AQ82" s="468"/>
      <c r="AR82" s="468"/>
      <c r="AS82" s="468"/>
      <c r="AT82" s="468"/>
      <c r="AU82" s="468"/>
      <c r="AV82" s="468"/>
      <c r="AW82" s="468"/>
      <c r="AX82" s="468"/>
      <c r="AY82" s="460">
        <f t="shared" si="169"/>
        <v>0</v>
      </c>
      <c r="AZ82" s="469"/>
      <c r="BA82" s="468"/>
      <c r="BB82" s="468"/>
      <c r="BC82" s="468"/>
      <c r="BD82" s="468"/>
      <c r="BE82" s="468"/>
      <c r="BF82" s="468"/>
      <c r="BG82" s="468"/>
      <c r="BH82" s="462">
        <f t="shared" si="170"/>
        <v>0</v>
      </c>
      <c r="BI82" s="463">
        <f t="shared" si="171"/>
        <v>0</v>
      </c>
      <c r="BJ82" s="343">
        <v>54</v>
      </c>
      <c r="BK82" s="468"/>
      <c r="BL82" s="468"/>
      <c r="BM82" s="468"/>
      <c r="BN82" s="468"/>
      <c r="BO82" s="468"/>
      <c r="BP82" s="468"/>
      <c r="BQ82" s="468"/>
      <c r="BR82" s="468"/>
      <c r="BS82" s="460">
        <f t="shared" si="172"/>
        <v>0</v>
      </c>
      <c r="BT82" s="469"/>
      <c r="BU82" s="468"/>
      <c r="BV82" s="468"/>
      <c r="BW82" s="468"/>
      <c r="BX82" s="468"/>
      <c r="BY82" s="468"/>
      <c r="BZ82" s="468"/>
      <c r="CA82" s="468"/>
      <c r="CB82" s="462">
        <f t="shared" si="173"/>
        <v>0</v>
      </c>
      <c r="CC82" s="463">
        <f t="shared" si="174"/>
        <v>0</v>
      </c>
      <c r="CD82" s="343">
        <v>54</v>
      </c>
      <c r="CE82" s="462">
        <f t="shared" si="175"/>
        <v>0</v>
      </c>
      <c r="CF82" s="462">
        <f t="shared" si="176"/>
        <v>0</v>
      </c>
      <c r="CG82" s="462">
        <f t="shared" si="177"/>
        <v>0</v>
      </c>
      <c r="CH82" s="462">
        <f t="shared" si="178"/>
        <v>0</v>
      </c>
      <c r="CI82" s="464">
        <f t="shared" si="179"/>
        <v>0</v>
      </c>
      <c r="CJ82" s="462">
        <f t="shared" si="180"/>
        <v>0</v>
      </c>
      <c r="CK82" s="462">
        <f t="shared" si="181"/>
        <v>0</v>
      </c>
      <c r="CL82" s="462">
        <f t="shared" si="182"/>
        <v>0</v>
      </c>
      <c r="CM82" s="462">
        <f t="shared" si="183"/>
        <v>0</v>
      </c>
      <c r="CN82" s="464">
        <f t="shared" si="184"/>
        <v>0</v>
      </c>
      <c r="CO82" s="462">
        <f t="shared" si="185"/>
        <v>0</v>
      </c>
      <c r="CP82" s="462">
        <f t="shared" si="186"/>
        <v>0</v>
      </c>
      <c r="CQ82" s="462">
        <f t="shared" si="187"/>
        <v>0</v>
      </c>
      <c r="CR82" s="462">
        <f t="shared" si="188"/>
        <v>0</v>
      </c>
      <c r="CS82" s="464">
        <f t="shared" si="189"/>
        <v>0</v>
      </c>
    </row>
    <row r="83" spans="1:131" ht="15.75" customHeight="1" x14ac:dyDescent="0.25">
      <c r="A83" s="94" t="s">
        <v>319</v>
      </c>
      <c r="B83" s="343">
        <v>55</v>
      </c>
      <c r="C83" s="468"/>
      <c r="D83" s="468"/>
      <c r="E83" s="468"/>
      <c r="F83" s="468"/>
      <c r="G83" s="468"/>
      <c r="H83" s="468"/>
      <c r="I83" s="468"/>
      <c r="J83" s="468"/>
      <c r="K83" s="460">
        <f t="shared" si="163"/>
        <v>0</v>
      </c>
      <c r="L83" s="469"/>
      <c r="M83" s="468"/>
      <c r="N83" s="468"/>
      <c r="O83" s="468"/>
      <c r="P83" s="468"/>
      <c r="Q83" s="468"/>
      <c r="R83" s="468"/>
      <c r="S83" s="468"/>
      <c r="T83" s="462">
        <f t="shared" si="164"/>
        <v>0</v>
      </c>
      <c r="U83" s="463">
        <f t="shared" si="165"/>
        <v>0</v>
      </c>
      <c r="V83" s="343">
        <v>55</v>
      </c>
      <c r="W83" s="468"/>
      <c r="X83" s="468"/>
      <c r="Y83" s="468"/>
      <c r="Z83" s="468"/>
      <c r="AA83" s="468"/>
      <c r="AB83" s="468"/>
      <c r="AC83" s="468"/>
      <c r="AD83" s="468"/>
      <c r="AE83" s="460">
        <f t="shared" si="166"/>
        <v>0</v>
      </c>
      <c r="AF83" s="469"/>
      <c r="AG83" s="468"/>
      <c r="AH83" s="468"/>
      <c r="AI83" s="468"/>
      <c r="AJ83" s="468"/>
      <c r="AK83" s="468"/>
      <c r="AL83" s="468"/>
      <c r="AM83" s="468"/>
      <c r="AN83" s="462">
        <f t="shared" si="167"/>
        <v>0</v>
      </c>
      <c r="AO83" s="463">
        <f t="shared" si="168"/>
        <v>0</v>
      </c>
      <c r="AP83" s="343">
        <v>55</v>
      </c>
      <c r="AQ83" s="468"/>
      <c r="AR83" s="468"/>
      <c r="AS83" s="468"/>
      <c r="AT83" s="468"/>
      <c r="AU83" s="468"/>
      <c r="AV83" s="468"/>
      <c r="AW83" s="468"/>
      <c r="AX83" s="468"/>
      <c r="AY83" s="460">
        <f t="shared" si="169"/>
        <v>0</v>
      </c>
      <c r="AZ83" s="469"/>
      <c r="BA83" s="468"/>
      <c r="BB83" s="468"/>
      <c r="BC83" s="468"/>
      <c r="BD83" s="468"/>
      <c r="BE83" s="468"/>
      <c r="BF83" s="468"/>
      <c r="BG83" s="468"/>
      <c r="BH83" s="462">
        <f t="shared" si="170"/>
        <v>0</v>
      </c>
      <c r="BI83" s="463">
        <f t="shared" si="171"/>
        <v>0</v>
      </c>
      <c r="BJ83" s="343">
        <v>55</v>
      </c>
      <c r="BK83" s="468"/>
      <c r="BL83" s="468"/>
      <c r="BM83" s="468"/>
      <c r="BN83" s="468"/>
      <c r="BO83" s="468"/>
      <c r="BP83" s="468"/>
      <c r="BQ83" s="468"/>
      <c r="BR83" s="468"/>
      <c r="BS83" s="460">
        <f t="shared" si="172"/>
        <v>0</v>
      </c>
      <c r="BT83" s="469"/>
      <c r="BU83" s="468"/>
      <c r="BV83" s="468"/>
      <c r="BW83" s="468"/>
      <c r="BX83" s="468"/>
      <c r="BY83" s="468"/>
      <c r="BZ83" s="468"/>
      <c r="CA83" s="468"/>
      <c r="CB83" s="462">
        <f t="shared" si="173"/>
        <v>0</v>
      </c>
      <c r="CC83" s="463">
        <f t="shared" si="174"/>
        <v>0</v>
      </c>
      <c r="CD83" s="343">
        <v>55</v>
      </c>
      <c r="CE83" s="462">
        <f t="shared" si="175"/>
        <v>0</v>
      </c>
      <c r="CF83" s="462">
        <f t="shared" si="176"/>
        <v>0</v>
      </c>
      <c r="CG83" s="462">
        <f t="shared" si="177"/>
        <v>0</v>
      </c>
      <c r="CH83" s="462">
        <f t="shared" si="178"/>
        <v>0</v>
      </c>
      <c r="CI83" s="464">
        <f t="shared" si="179"/>
        <v>0</v>
      </c>
      <c r="CJ83" s="462">
        <f t="shared" si="180"/>
        <v>0</v>
      </c>
      <c r="CK83" s="462">
        <f t="shared" si="181"/>
        <v>0</v>
      </c>
      <c r="CL83" s="462">
        <f t="shared" si="182"/>
        <v>0</v>
      </c>
      <c r="CM83" s="462">
        <f t="shared" si="183"/>
        <v>0</v>
      </c>
      <c r="CN83" s="464">
        <f t="shared" si="184"/>
        <v>0</v>
      </c>
      <c r="CO83" s="462">
        <f t="shared" si="185"/>
        <v>0</v>
      </c>
      <c r="CP83" s="462">
        <f t="shared" si="186"/>
        <v>0</v>
      </c>
      <c r="CQ83" s="462">
        <f t="shared" si="187"/>
        <v>0</v>
      </c>
      <c r="CR83" s="462">
        <f t="shared" si="188"/>
        <v>0</v>
      </c>
      <c r="CS83" s="464">
        <f t="shared" si="189"/>
        <v>0</v>
      </c>
    </row>
    <row r="84" spans="1:131" ht="15.75" customHeight="1" x14ac:dyDescent="0.25">
      <c r="A84" s="94" t="s">
        <v>320</v>
      </c>
      <c r="B84" s="343">
        <v>56</v>
      </c>
      <c r="C84" s="468"/>
      <c r="D84" s="468"/>
      <c r="E84" s="468"/>
      <c r="F84" s="468"/>
      <c r="G84" s="468"/>
      <c r="H84" s="468"/>
      <c r="I84" s="468"/>
      <c r="J84" s="468"/>
      <c r="K84" s="460">
        <f t="shared" si="163"/>
        <v>0</v>
      </c>
      <c r="L84" s="469"/>
      <c r="M84" s="468"/>
      <c r="N84" s="468"/>
      <c r="O84" s="468"/>
      <c r="P84" s="468"/>
      <c r="Q84" s="468"/>
      <c r="R84" s="468"/>
      <c r="S84" s="468"/>
      <c r="T84" s="462">
        <f t="shared" si="164"/>
        <v>0</v>
      </c>
      <c r="U84" s="463">
        <f t="shared" si="165"/>
        <v>0</v>
      </c>
      <c r="V84" s="343">
        <v>56</v>
      </c>
      <c r="W84" s="468"/>
      <c r="X84" s="468"/>
      <c r="Y84" s="468"/>
      <c r="Z84" s="468"/>
      <c r="AA84" s="468"/>
      <c r="AB84" s="468"/>
      <c r="AC84" s="468"/>
      <c r="AD84" s="468"/>
      <c r="AE84" s="460">
        <f t="shared" si="166"/>
        <v>0</v>
      </c>
      <c r="AF84" s="469"/>
      <c r="AG84" s="468"/>
      <c r="AH84" s="468"/>
      <c r="AI84" s="468"/>
      <c r="AJ84" s="468"/>
      <c r="AK84" s="468"/>
      <c r="AL84" s="468"/>
      <c r="AM84" s="468"/>
      <c r="AN84" s="462">
        <f t="shared" si="167"/>
        <v>0</v>
      </c>
      <c r="AO84" s="463">
        <f t="shared" si="168"/>
        <v>0</v>
      </c>
      <c r="AP84" s="343">
        <v>56</v>
      </c>
      <c r="AQ84" s="468"/>
      <c r="AR84" s="468"/>
      <c r="AS84" s="468"/>
      <c r="AT84" s="468"/>
      <c r="AU84" s="468"/>
      <c r="AV84" s="468"/>
      <c r="AW84" s="468"/>
      <c r="AX84" s="468"/>
      <c r="AY84" s="460">
        <f t="shared" si="169"/>
        <v>0</v>
      </c>
      <c r="AZ84" s="469"/>
      <c r="BA84" s="468"/>
      <c r="BB84" s="468"/>
      <c r="BC84" s="468"/>
      <c r="BD84" s="468"/>
      <c r="BE84" s="468"/>
      <c r="BF84" s="468"/>
      <c r="BG84" s="468"/>
      <c r="BH84" s="462">
        <f t="shared" si="170"/>
        <v>0</v>
      </c>
      <c r="BI84" s="463">
        <f t="shared" si="171"/>
        <v>0</v>
      </c>
      <c r="BJ84" s="343">
        <v>56</v>
      </c>
      <c r="BK84" s="468"/>
      <c r="BL84" s="468"/>
      <c r="BM84" s="468"/>
      <c r="BN84" s="468"/>
      <c r="BO84" s="468"/>
      <c r="BP84" s="468"/>
      <c r="BQ84" s="468"/>
      <c r="BR84" s="468"/>
      <c r="BS84" s="460">
        <f t="shared" si="172"/>
        <v>0</v>
      </c>
      <c r="BT84" s="469"/>
      <c r="BU84" s="468"/>
      <c r="BV84" s="468"/>
      <c r="BW84" s="468"/>
      <c r="BX84" s="468"/>
      <c r="BY84" s="468"/>
      <c r="BZ84" s="468"/>
      <c r="CA84" s="468"/>
      <c r="CB84" s="462">
        <f t="shared" si="173"/>
        <v>0</v>
      </c>
      <c r="CC84" s="463">
        <f t="shared" si="174"/>
        <v>0</v>
      </c>
      <c r="CD84" s="343">
        <v>56</v>
      </c>
      <c r="CE84" s="462">
        <f t="shared" si="175"/>
        <v>0</v>
      </c>
      <c r="CF84" s="462">
        <f t="shared" si="176"/>
        <v>0</v>
      </c>
      <c r="CG84" s="462">
        <f t="shared" si="177"/>
        <v>0</v>
      </c>
      <c r="CH84" s="462">
        <f t="shared" si="178"/>
        <v>0</v>
      </c>
      <c r="CI84" s="464">
        <f t="shared" si="179"/>
        <v>0</v>
      </c>
      <c r="CJ84" s="462">
        <f t="shared" si="180"/>
        <v>0</v>
      </c>
      <c r="CK84" s="462">
        <f t="shared" si="181"/>
        <v>0</v>
      </c>
      <c r="CL84" s="462">
        <f t="shared" si="182"/>
        <v>0</v>
      </c>
      <c r="CM84" s="462">
        <f t="shared" si="183"/>
        <v>0</v>
      </c>
      <c r="CN84" s="464">
        <f t="shared" si="184"/>
        <v>0</v>
      </c>
      <c r="CO84" s="462">
        <f t="shared" si="185"/>
        <v>0</v>
      </c>
      <c r="CP84" s="462">
        <f t="shared" si="186"/>
        <v>0</v>
      </c>
      <c r="CQ84" s="462">
        <f t="shared" si="187"/>
        <v>0</v>
      </c>
      <c r="CR84" s="462">
        <f t="shared" si="188"/>
        <v>0</v>
      </c>
      <c r="CS84" s="464">
        <f t="shared" si="189"/>
        <v>0</v>
      </c>
    </row>
    <row r="85" spans="1:131" ht="15.75" customHeight="1" x14ac:dyDescent="0.25">
      <c r="A85" s="94" t="s">
        <v>335</v>
      </c>
      <c r="B85" s="343">
        <v>57</v>
      </c>
      <c r="C85" s="468"/>
      <c r="D85" s="468"/>
      <c r="E85" s="468"/>
      <c r="F85" s="468"/>
      <c r="G85" s="468"/>
      <c r="H85" s="468"/>
      <c r="I85" s="468"/>
      <c r="J85" s="468"/>
      <c r="K85" s="460">
        <f t="shared" si="163"/>
        <v>0</v>
      </c>
      <c r="L85" s="469"/>
      <c r="M85" s="468"/>
      <c r="N85" s="468"/>
      <c r="O85" s="468"/>
      <c r="P85" s="468"/>
      <c r="Q85" s="468"/>
      <c r="R85" s="468"/>
      <c r="S85" s="468"/>
      <c r="T85" s="462">
        <f t="shared" si="164"/>
        <v>0</v>
      </c>
      <c r="U85" s="463">
        <f t="shared" si="165"/>
        <v>0</v>
      </c>
      <c r="V85" s="343">
        <v>57</v>
      </c>
      <c r="W85" s="468"/>
      <c r="X85" s="468"/>
      <c r="Y85" s="468"/>
      <c r="Z85" s="468"/>
      <c r="AA85" s="468"/>
      <c r="AB85" s="468"/>
      <c r="AC85" s="468"/>
      <c r="AD85" s="468"/>
      <c r="AE85" s="460">
        <f t="shared" si="166"/>
        <v>0</v>
      </c>
      <c r="AF85" s="469"/>
      <c r="AG85" s="468"/>
      <c r="AH85" s="468"/>
      <c r="AI85" s="468"/>
      <c r="AJ85" s="468"/>
      <c r="AK85" s="468"/>
      <c r="AL85" s="468"/>
      <c r="AM85" s="468"/>
      <c r="AN85" s="462">
        <f t="shared" si="167"/>
        <v>0</v>
      </c>
      <c r="AO85" s="463">
        <f t="shared" si="168"/>
        <v>0</v>
      </c>
      <c r="AP85" s="343">
        <v>57</v>
      </c>
      <c r="AQ85" s="468"/>
      <c r="AR85" s="468"/>
      <c r="AS85" s="468"/>
      <c r="AT85" s="468"/>
      <c r="AU85" s="468"/>
      <c r="AV85" s="468"/>
      <c r="AW85" s="468"/>
      <c r="AX85" s="468"/>
      <c r="AY85" s="460">
        <f t="shared" si="169"/>
        <v>0</v>
      </c>
      <c r="AZ85" s="469"/>
      <c r="BA85" s="468"/>
      <c r="BB85" s="468"/>
      <c r="BC85" s="468"/>
      <c r="BD85" s="468"/>
      <c r="BE85" s="468"/>
      <c r="BF85" s="468"/>
      <c r="BG85" s="468"/>
      <c r="BH85" s="462">
        <f t="shared" si="170"/>
        <v>0</v>
      </c>
      <c r="BI85" s="463">
        <f t="shared" si="171"/>
        <v>0</v>
      </c>
      <c r="BJ85" s="343">
        <v>57</v>
      </c>
      <c r="BK85" s="468"/>
      <c r="BL85" s="468"/>
      <c r="BM85" s="468"/>
      <c r="BN85" s="468"/>
      <c r="BO85" s="468"/>
      <c r="BP85" s="468"/>
      <c r="BQ85" s="468"/>
      <c r="BR85" s="468"/>
      <c r="BS85" s="460">
        <f t="shared" si="172"/>
        <v>0</v>
      </c>
      <c r="BT85" s="469"/>
      <c r="BU85" s="468"/>
      <c r="BV85" s="468"/>
      <c r="BW85" s="468"/>
      <c r="BX85" s="468"/>
      <c r="BY85" s="468"/>
      <c r="BZ85" s="468"/>
      <c r="CA85" s="468"/>
      <c r="CB85" s="462">
        <f t="shared" si="173"/>
        <v>0</v>
      </c>
      <c r="CC85" s="463">
        <f t="shared" si="174"/>
        <v>0</v>
      </c>
      <c r="CD85" s="343">
        <v>57</v>
      </c>
      <c r="CE85" s="462">
        <f t="shared" si="175"/>
        <v>0</v>
      </c>
      <c r="CF85" s="462">
        <f t="shared" si="176"/>
        <v>0</v>
      </c>
      <c r="CG85" s="462">
        <f t="shared" si="177"/>
        <v>0</v>
      </c>
      <c r="CH85" s="462">
        <f t="shared" si="178"/>
        <v>0</v>
      </c>
      <c r="CI85" s="464">
        <f t="shared" si="179"/>
        <v>0</v>
      </c>
      <c r="CJ85" s="462">
        <f t="shared" si="180"/>
        <v>0</v>
      </c>
      <c r="CK85" s="462">
        <f t="shared" si="181"/>
        <v>0</v>
      </c>
      <c r="CL85" s="462">
        <f t="shared" si="182"/>
        <v>0</v>
      </c>
      <c r="CM85" s="462">
        <f t="shared" si="183"/>
        <v>0</v>
      </c>
      <c r="CN85" s="464">
        <f t="shared" si="184"/>
        <v>0</v>
      </c>
      <c r="CO85" s="462">
        <f t="shared" si="185"/>
        <v>0</v>
      </c>
      <c r="CP85" s="462">
        <f t="shared" si="186"/>
        <v>0</v>
      </c>
      <c r="CQ85" s="462">
        <f t="shared" si="187"/>
        <v>0</v>
      </c>
      <c r="CR85" s="462">
        <f t="shared" si="188"/>
        <v>0</v>
      </c>
      <c r="CS85" s="464">
        <f t="shared" si="189"/>
        <v>0</v>
      </c>
    </row>
    <row r="86" spans="1:131" ht="15.75" customHeight="1" x14ac:dyDescent="0.25">
      <c r="A86" s="94" t="s">
        <v>337</v>
      </c>
      <c r="B86" s="343">
        <v>58</v>
      </c>
      <c r="C86" s="468">
        <v>5143.544179630966</v>
      </c>
      <c r="D86" s="468">
        <v>19000.456885754575</v>
      </c>
      <c r="E86" s="468">
        <v>3534.8232023070632</v>
      </c>
      <c r="F86" s="468">
        <v>11167.600636180832</v>
      </c>
      <c r="G86" s="468">
        <v>4703.5748407066703</v>
      </c>
      <c r="H86" s="468">
        <v>12145.437968556105</v>
      </c>
      <c r="I86" s="468">
        <v>4727.5898584400256</v>
      </c>
      <c r="J86" s="468">
        <v>12162.607174681025</v>
      </c>
      <c r="K86" s="460">
        <f t="shared" si="163"/>
        <v>72585.634746257274</v>
      </c>
      <c r="L86" s="469">
        <v>0</v>
      </c>
      <c r="M86" s="468">
        <v>52035.185272478069</v>
      </c>
      <c r="N86" s="468">
        <v>0</v>
      </c>
      <c r="O86" s="468">
        <v>26024.465087114626</v>
      </c>
      <c r="P86" s="468">
        <v>0</v>
      </c>
      <c r="Q86" s="468">
        <v>29740.264833426107</v>
      </c>
      <c r="R86" s="468">
        <v>0</v>
      </c>
      <c r="S86" s="468">
        <v>28947.662805648532</v>
      </c>
      <c r="T86" s="462">
        <f t="shared" si="164"/>
        <v>136747.57799866732</v>
      </c>
      <c r="U86" s="463">
        <f t="shared" si="165"/>
        <v>209333.21274492459</v>
      </c>
      <c r="V86" s="343">
        <v>58</v>
      </c>
      <c r="W86" s="468">
        <v>1102.2964096603223</v>
      </c>
      <c r="X86" s="468">
        <v>14842.56253075462</v>
      </c>
      <c r="Y86" s="468">
        <v>482.29657558011081</v>
      </c>
      <c r="Z86" s="468">
        <v>8655.3207829766234</v>
      </c>
      <c r="AA86" s="468">
        <v>424.84170283457394</v>
      </c>
      <c r="AB86" s="468">
        <v>9409.2228785672814</v>
      </c>
      <c r="AC86" s="468">
        <v>847.139251463037</v>
      </c>
      <c r="AD86" s="468">
        <v>9912.6675933497991</v>
      </c>
      <c r="AE86" s="460">
        <f t="shared" si="166"/>
        <v>45676.347725186366</v>
      </c>
      <c r="AF86" s="469">
        <v>0</v>
      </c>
      <c r="AG86" s="468">
        <v>22425.598404035096</v>
      </c>
      <c r="AH86" s="468">
        <v>0</v>
      </c>
      <c r="AI86" s="468">
        <v>11762.239838879112</v>
      </c>
      <c r="AJ86" s="468">
        <v>0</v>
      </c>
      <c r="AK86" s="468">
        <v>13972.492891623378</v>
      </c>
      <c r="AL86" s="468">
        <v>0</v>
      </c>
      <c r="AM86" s="468">
        <v>14545.849309228604</v>
      </c>
      <c r="AN86" s="462">
        <f t="shared" si="167"/>
        <v>62706.180443766192</v>
      </c>
      <c r="AO86" s="463">
        <f t="shared" si="168"/>
        <v>108382.52816895256</v>
      </c>
      <c r="AP86" s="343">
        <v>58</v>
      </c>
      <c r="AQ86" s="468">
        <v>134924.96249225317</v>
      </c>
      <c r="AR86" s="468">
        <v>432472.82934983639</v>
      </c>
      <c r="AS86" s="468">
        <v>85743.380183550908</v>
      </c>
      <c r="AT86" s="468">
        <v>263408.12480446458</v>
      </c>
      <c r="AU86" s="468">
        <v>95722.369784500959</v>
      </c>
      <c r="AV86" s="468">
        <v>297489.28686080308</v>
      </c>
      <c r="AW86" s="468">
        <v>98963.158325235316</v>
      </c>
      <c r="AX86" s="468">
        <v>296846.90919345216</v>
      </c>
      <c r="AY86" s="460">
        <f t="shared" si="169"/>
        <v>1705571.0209940965</v>
      </c>
      <c r="AZ86" s="469">
        <v>0</v>
      </c>
      <c r="BA86" s="468">
        <v>481209.80809406284</v>
      </c>
      <c r="BB86" s="468">
        <v>0</v>
      </c>
      <c r="BC86" s="468">
        <v>219836.69144920207</v>
      </c>
      <c r="BD86" s="468">
        <v>0</v>
      </c>
      <c r="BE86" s="468">
        <v>266798.65247845964</v>
      </c>
      <c r="BF86" s="468">
        <v>0</v>
      </c>
      <c r="BG86" s="468">
        <v>256512.4181899534</v>
      </c>
      <c r="BH86" s="462">
        <f t="shared" si="170"/>
        <v>1224357.570211678</v>
      </c>
      <c r="BI86" s="463">
        <f t="shared" si="171"/>
        <v>2929928.5912057748</v>
      </c>
      <c r="BJ86" s="343">
        <v>58</v>
      </c>
      <c r="BK86" s="468">
        <v>3330.2503101862108</v>
      </c>
      <c r="BL86" s="468">
        <v>56644.981618127087</v>
      </c>
      <c r="BM86" s="468">
        <v>1552.7417069840462</v>
      </c>
      <c r="BN86" s="468">
        <v>35067.484913369917</v>
      </c>
      <c r="BO86" s="468">
        <v>2390.6325558685739</v>
      </c>
      <c r="BP86" s="468">
        <v>38126.228162012383</v>
      </c>
      <c r="BQ86" s="468">
        <v>2620.6758381459899</v>
      </c>
      <c r="BR86" s="468">
        <v>36854.839119244942</v>
      </c>
      <c r="BS86" s="460">
        <f t="shared" si="172"/>
        <v>176587.83422393913</v>
      </c>
      <c r="BT86" s="469">
        <v>0</v>
      </c>
      <c r="BU86" s="468">
        <v>19847.706648515523</v>
      </c>
      <c r="BV86" s="468">
        <v>0</v>
      </c>
      <c r="BW86" s="468">
        <v>10482.544804031471</v>
      </c>
      <c r="BX86" s="468">
        <v>0</v>
      </c>
      <c r="BY86" s="468">
        <v>11319.566623001589</v>
      </c>
      <c r="BZ86" s="468">
        <v>0</v>
      </c>
      <c r="CA86" s="468">
        <v>12643.255623987508</v>
      </c>
      <c r="CB86" s="462">
        <f t="shared" si="173"/>
        <v>54293.073699536093</v>
      </c>
      <c r="CC86" s="463">
        <f t="shared" si="174"/>
        <v>230880.90792347523</v>
      </c>
      <c r="CD86" s="343">
        <v>58</v>
      </c>
      <c r="CE86" s="462">
        <f t="shared" si="175"/>
        <v>667461.88377620338</v>
      </c>
      <c r="CF86" s="462">
        <f t="shared" si="176"/>
        <v>409611.7728054141</v>
      </c>
      <c r="CG86" s="462">
        <f t="shared" si="177"/>
        <v>460411.59475384967</v>
      </c>
      <c r="CH86" s="462">
        <f t="shared" si="178"/>
        <v>462935.58635401231</v>
      </c>
      <c r="CI86" s="464">
        <f t="shared" si="179"/>
        <v>2000420.8376894793</v>
      </c>
      <c r="CJ86" s="462">
        <f t="shared" si="180"/>
        <v>575518.2984190915</v>
      </c>
      <c r="CK86" s="462">
        <f t="shared" si="181"/>
        <v>268105.94117922732</v>
      </c>
      <c r="CL86" s="462">
        <f t="shared" si="182"/>
        <v>321830.97682651074</v>
      </c>
      <c r="CM86" s="462">
        <f t="shared" si="183"/>
        <v>312649.18592881807</v>
      </c>
      <c r="CN86" s="464">
        <f t="shared" si="184"/>
        <v>1478104.4023536476</v>
      </c>
      <c r="CO86" s="462">
        <f t="shared" si="185"/>
        <v>1242980.1821952949</v>
      </c>
      <c r="CP86" s="462">
        <f t="shared" si="186"/>
        <v>677717.71398464136</v>
      </c>
      <c r="CQ86" s="462">
        <f t="shared" si="187"/>
        <v>782242.57158036041</v>
      </c>
      <c r="CR86" s="462">
        <f t="shared" si="188"/>
        <v>775584.77228283044</v>
      </c>
      <c r="CS86" s="464">
        <f t="shared" si="189"/>
        <v>3478525.2400431274</v>
      </c>
    </row>
    <row r="87" spans="1:131" ht="15.75" customHeight="1" x14ac:dyDescent="0.25">
      <c r="B87" s="343"/>
      <c r="C87" s="207" t="s">
        <v>32</v>
      </c>
      <c r="D87" s="207" t="s">
        <v>32</v>
      </c>
      <c r="E87" s="207" t="s">
        <v>32</v>
      </c>
      <c r="F87" s="207" t="s">
        <v>32</v>
      </c>
      <c r="G87" s="207" t="s">
        <v>32</v>
      </c>
      <c r="H87" s="207" t="s">
        <v>32</v>
      </c>
      <c r="I87" s="207" t="s">
        <v>32</v>
      </c>
      <c r="J87" s="207" t="s">
        <v>32</v>
      </c>
      <c r="K87" s="426"/>
      <c r="L87" s="427" t="s">
        <v>32</v>
      </c>
      <c r="M87" s="207" t="s">
        <v>32</v>
      </c>
      <c r="N87" s="207" t="s">
        <v>32</v>
      </c>
      <c r="O87" s="207" t="s">
        <v>32</v>
      </c>
      <c r="P87" s="207" t="s">
        <v>32</v>
      </c>
      <c r="Q87" s="207" t="s">
        <v>32</v>
      </c>
      <c r="R87" s="207" t="s">
        <v>32</v>
      </c>
      <c r="S87" s="207" t="s">
        <v>32</v>
      </c>
      <c r="T87" s="428" t="s">
        <v>32</v>
      </c>
      <c r="U87" s="427" t="s">
        <v>32</v>
      </c>
      <c r="V87" s="343"/>
      <c r="W87" s="207" t="s">
        <v>32</v>
      </c>
      <c r="X87" s="207" t="s">
        <v>32</v>
      </c>
      <c r="Y87" s="207" t="s">
        <v>32</v>
      </c>
      <c r="Z87" s="207" t="s">
        <v>32</v>
      </c>
      <c r="AA87" s="207" t="s">
        <v>32</v>
      </c>
      <c r="AB87" s="207" t="s">
        <v>32</v>
      </c>
      <c r="AC87" s="207" t="s">
        <v>32</v>
      </c>
      <c r="AD87" s="207" t="s">
        <v>32</v>
      </c>
      <c r="AE87" s="426"/>
      <c r="AF87" s="427" t="s">
        <v>32</v>
      </c>
      <c r="AG87" s="207" t="s">
        <v>32</v>
      </c>
      <c r="AH87" s="207" t="s">
        <v>32</v>
      </c>
      <c r="AI87" s="207" t="s">
        <v>32</v>
      </c>
      <c r="AJ87" s="207" t="s">
        <v>32</v>
      </c>
      <c r="AK87" s="207" t="s">
        <v>32</v>
      </c>
      <c r="AL87" s="207" t="s">
        <v>32</v>
      </c>
      <c r="AM87" s="207" t="s">
        <v>32</v>
      </c>
      <c r="AN87" s="428" t="s">
        <v>32</v>
      </c>
      <c r="AO87" s="427" t="s">
        <v>32</v>
      </c>
      <c r="AP87" s="343"/>
      <c r="AQ87" s="207" t="s">
        <v>32</v>
      </c>
      <c r="AR87" s="207" t="s">
        <v>32</v>
      </c>
      <c r="AS87" s="207" t="s">
        <v>32</v>
      </c>
      <c r="AT87" s="207" t="s">
        <v>32</v>
      </c>
      <c r="AU87" s="207" t="s">
        <v>32</v>
      </c>
      <c r="AV87" s="207" t="s">
        <v>32</v>
      </c>
      <c r="AW87" s="207" t="s">
        <v>32</v>
      </c>
      <c r="AX87" s="207" t="s">
        <v>32</v>
      </c>
      <c r="AY87" s="426"/>
      <c r="AZ87" s="427" t="s">
        <v>32</v>
      </c>
      <c r="BA87" s="207" t="s">
        <v>32</v>
      </c>
      <c r="BB87" s="207" t="s">
        <v>32</v>
      </c>
      <c r="BC87" s="207" t="s">
        <v>32</v>
      </c>
      <c r="BD87" s="207" t="s">
        <v>32</v>
      </c>
      <c r="BE87" s="207" t="s">
        <v>32</v>
      </c>
      <c r="BF87" s="207" t="s">
        <v>32</v>
      </c>
      <c r="BG87" s="207" t="s">
        <v>32</v>
      </c>
      <c r="BH87" s="428" t="s">
        <v>32</v>
      </c>
      <c r="BI87" s="427" t="s">
        <v>32</v>
      </c>
      <c r="BJ87" s="343"/>
      <c r="BK87" s="207" t="s">
        <v>32</v>
      </c>
      <c r="BL87" s="207" t="s">
        <v>32</v>
      </c>
      <c r="BM87" s="207" t="s">
        <v>32</v>
      </c>
      <c r="BN87" s="207" t="s">
        <v>32</v>
      </c>
      <c r="BO87" s="207" t="s">
        <v>32</v>
      </c>
      <c r="BP87" s="207" t="s">
        <v>32</v>
      </c>
      <c r="BQ87" s="207" t="s">
        <v>32</v>
      </c>
      <c r="BR87" s="207" t="s">
        <v>32</v>
      </c>
      <c r="BS87" s="426"/>
      <c r="BT87" s="427" t="s">
        <v>32</v>
      </c>
      <c r="BU87" s="207" t="s">
        <v>32</v>
      </c>
      <c r="BV87" s="207" t="s">
        <v>32</v>
      </c>
      <c r="BW87" s="207" t="s">
        <v>32</v>
      </c>
      <c r="BX87" s="207" t="s">
        <v>32</v>
      </c>
      <c r="BY87" s="207" t="s">
        <v>32</v>
      </c>
      <c r="BZ87" s="207" t="s">
        <v>32</v>
      </c>
      <c r="CA87" s="207" t="s">
        <v>32</v>
      </c>
      <c r="CB87" s="428" t="s">
        <v>32</v>
      </c>
      <c r="CC87" s="427" t="s">
        <v>32</v>
      </c>
      <c r="CD87" s="343"/>
      <c r="CE87" s="428" t="s">
        <v>32</v>
      </c>
      <c r="CF87" s="428"/>
      <c r="CG87" s="428"/>
      <c r="CH87" s="428"/>
      <c r="CI87" s="207"/>
      <c r="CJ87" s="428" t="s">
        <v>32</v>
      </c>
      <c r="CK87" s="428"/>
      <c r="CL87" s="428"/>
      <c r="CM87" s="428"/>
      <c r="CN87" s="207"/>
      <c r="CO87" s="428" t="s">
        <v>32</v>
      </c>
      <c r="CP87" s="428"/>
      <c r="CQ87" s="428"/>
      <c r="CR87" s="428"/>
      <c r="CS87" s="207"/>
    </row>
    <row r="88" spans="1:131" s="17" customFormat="1" ht="15.75" customHeight="1" x14ac:dyDescent="0.25">
      <c r="A88" s="19" t="s">
        <v>423</v>
      </c>
      <c r="B88" s="343">
        <v>59</v>
      </c>
      <c r="C88" s="236">
        <f t="shared" ref="C88:U88" si="190">SUM(C76:C86)</f>
        <v>9527.7573273086364</v>
      </c>
      <c r="D88" s="236">
        <f t="shared" si="190"/>
        <v>35195.914722063972</v>
      </c>
      <c r="E88" s="236">
        <f t="shared" si="190"/>
        <v>12428.460594430113</v>
      </c>
      <c r="F88" s="236">
        <f t="shared" si="190"/>
        <v>39265.354021247367</v>
      </c>
      <c r="G88" s="236">
        <f t="shared" si="190"/>
        <v>15188.322583477293</v>
      </c>
      <c r="H88" s="236">
        <f t="shared" si="190"/>
        <v>39218.857152558558</v>
      </c>
      <c r="I88" s="236">
        <f t="shared" si="190"/>
        <v>16043.316524883498</v>
      </c>
      <c r="J88" s="236">
        <f t="shared" si="190"/>
        <v>41274.425767469969</v>
      </c>
      <c r="K88" s="241">
        <f t="shared" si="190"/>
        <v>208142.40869343941</v>
      </c>
      <c r="L88" s="238">
        <f t="shared" si="190"/>
        <v>0</v>
      </c>
      <c r="M88" s="236">
        <f t="shared" si="190"/>
        <v>96388.521308139316</v>
      </c>
      <c r="N88" s="236">
        <f t="shared" si="190"/>
        <v>0</v>
      </c>
      <c r="O88" s="236">
        <f t="shared" si="190"/>
        <v>91502.182800889466</v>
      </c>
      <c r="P88" s="236">
        <f t="shared" si="190"/>
        <v>0</v>
      </c>
      <c r="Q88" s="236">
        <f t="shared" si="190"/>
        <v>96034.34649298717</v>
      </c>
      <c r="R88" s="236">
        <f t="shared" si="190"/>
        <v>0</v>
      </c>
      <c r="S88" s="236">
        <f t="shared" si="190"/>
        <v>98235.365366457816</v>
      </c>
      <c r="T88" s="239">
        <f t="shared" si="190"/>
        <v>382160.41596847377</v>
      </c>
      <c r="U88" s="240">
        <f t="shared" si="190"/>
        <v>590302.8246619131</v>
      </c>
      <c r="V88" s="343">
        <v>59</v>
      </c>
      <c r="W88" s="236">
        <f t="shared" ref="W88:AO88" si="191">SUM(W76:W86)</f>
        <v>2041.8630281427183</v>
      </c>
      <c r="X88" s="236">
        <f t="shared" si="191"/>
        <v>27493.947552440415</v>
      </c>
      <c r="Y88" s="236">
        <f t="shared" si="191"/>
        <v>1695.7577908037301</v>
      </c>
      <c r="Z88" s="236">
        <f t="shared" si="191"/>
        <v>30432.162268587592</v>
      </c>
      <c r="AA88" s="236">
        <f t="shared" si="191"/>
        <v>1371.8571614342291</v>
      </c>
      <c r="AB88" s="236">
        <f t="shared" si="191"/>
        <v>30383.339731880118</v>
      </c>
      <c r="AC88" s="236">
        <f t="shared" si="191"/>
        <v>2874.8101165355765</v>
      </c>
      <c r="AD88" s="236">
        <f t="shared" si="191"/>
        <v>33639.141416244209</v>
      </c>
      <c r="AE88" s="241">
        <f t="shared" si="191"/>
        <v>129932.87906606859</v>
      </c>
      <c r="AF88" s="238">
        <f t="shared" si="191"/>
        <v>0</v>
      </c>
      <c r="AG88" s="236">
        <f t="shared" si="191"/>
        <v>41540.551038614023</v>
      </c>
      <c r="AH88" s="236">
        <f t="shared" si="191"/>
        <v>0</v>
      </c>
      <c r="AI88" s="236">
        <f t="shared" si="191"/>
        <v>41356.109195032412</v>
      </c>
      <c r="AJ88" s="236">
        <f t="shared" si="191"/>
        <v>0</v>
      </c>
      <c r="AK88" s="236">
        <f t="shared" si="191"/>
        <v>45118.603725976929</v>
      </c>
      <c r="AL88" s="236">
        <f t="shared" si="191"/>
        <v>0</v>
      </c>
      <c r="AM88" s="236">
        <f t="shared" si="191"/>
        <v>49362.079109843951</v>
      </c>
      <c r="AN88" s="239">
        <f t="shared" si="191"/>
        <v>177377.34306946732</v>
      </c>
      <c r="AO88" s="240">
        <f t="shared" si="191"/>
        <v>307310.22213553591</v>
      </c>
      <c r="AP88" s="343">
        <v>59</v>
      </c>
      <c r="AQ88" s="236">
        <f t="shared" ref="AQ88:BI88" si="192">SUM(AQ76:AQ86)</f>
        <v>249931.22545992036</v>
      </c>
      <c r="AR88" s="236">
        <f t="shared" si="192"/>
        <v>801100.56894571753</v>
      </c>
      <c r="AS88" s="236">
        <f t="shared" si="192"/>
        <v>301474.26359230134</v>
      </c>
      <c r="AT88" s="236">
        <f t="shared" si="192"/>
        <v>926144.62223976105</v>
      </c>
      <c r="AU88" s="236">
        <f t="shared" si="192"/>
        <v>309097.28875994042</v>
      </c>
      <c r="AV88" s="236">
        <f t="shared" si="192"/>
        <v>960623.22956290981</v>
      </c>
      <c r="AW88" s="236">
        <f t="shared" si="192"/>
        <v>335836.50884592725</v>
      </c>
      <c r="AX88" s="236">
        <f t="shared" si="192"/>
        <v>1007365.0773917527</v>
      </c>
      <c r="AY88" s="241">
        <f t="shared" si="192"/>
        <v>4891572.784798231</v>
      </c>
      <c r="AZ88" s="238">
        <f t="shared" si="192"/>
        <v>0</v>
      </c>
      <c r="BA88" s="236">
        <f t="shared" si="192"/>
        <v>891379.5847613269</v>
      </c>
      <c r="BB88" s="236">
        <f t="shared" si="192"/>
        <v>0</v>
      </c>
      <c r="BC88" s="236">
        <f t="shared" si="192"/>
        <v>772947.18873155001</v>
      </c>
      <c r="BD88" s="236">
        <f t="shared" si="192"/>
        <v>0</v>
      </c>
      <c r="BE88" s="236">
        <f t="shared" si="192"/>
        <v>861520.04292783572</v>
      </c>
      <c r="BF88" s="236">
        <f t="shared" si="192"/>
        <v>0</v>
      </c>
      <c r="BG88" s="236">
        <f t="shared" si="192"/>
        <v>870487.93165459682</v>
      </c>
      <c r="BH88" s="239">
        <f t="shared" si="192"/>
        <v>3396334.7480753092</v>
      </c>
      <c r="BI88" s="240">
        <f t="shared" si="192"/>
        <v>8287907.5328735402</v>
      </c>
      <c r="BJ88" s="343">
        <v>59</v>
      </c>
      <c r="BK88" s="236">
        <f t="shared" ref="BK88:CC88" si="193">SUM(BK76:BK86)</f>
        <v>6168.8624976338888</v>
      </c>
      <c r="BL88" s="236">
        <f t="shared" si="193"/>
        <v>104927.57908149148</v>
      </c>
      <c r="BM88" s="236">
        <f t="shared" si="193"/>
        <v>5459.4496001904909</v>
      </c>
      <c r="BN88" s="236">
        <f t="shared" si="193"/>
        <v>123297.49734219674</v>
      </c>
      <c r="BO88" s="236">
        <f t="shared" si="193"/>
        <v>7719.5961936983849</v>
      </c>
      <c r="BP88" s="236">
        <f t="shared" si="193"/>
        <v>123113.47683986252</v>
      </c>
      <c r="BQ88" s="236">
        <f t="shared" si="193"/>
        <v>8893.3966861422996</v>
      </c>
      <c r="BR88" s="236">
        <f t="shared" si="193"/>
        <v>125068.7701700945</v>
      </c>
      <c r="BS88" s="241">
        <f t="shared" si="193"/>
        <v>504648.62841131026</v>
      </c>
      <c r="BT88" s="238">
        <f t="shared" si="193"/>
        <v>0</v>
      </c>
      <c r="BU88" s="236">
        <f t="shared" si="193"/>
        <v>36765.33647743136</v>
      </c>
      <c r="BV88" s="236">
        <f t="shared" si="193"/>
        <v>0</v>
      </c>
      <c r="BW88" s="236">
        <f t="shared" si="193"/>
        <v>36856.693410075663</v>
      </c>
      <c r="BX88" s="236">
        <f t="shared" si="193"/>
        <v>0</v>
      </c>
      <c r="BY88" s="236">
        <f t="shared" si="193"/>
        <v>36552.034398900003</v>
      </c>
      <c r="BZ88" s="236">
        <f t="shared" si="193"/>
        <v>0</v>
      </c>
      <c r="CA88" s="236">
        <f t="shared" si="193"/>
        <v>42905.530715301211</v>
      </c>
      <c r="CB88" s="239">
        <f t="shared" si="193"/>
        <v>153079.59500170825</v>
      </c>
      <c r="CC88" s="240">
        <f t="shared" si="193"/>
        <v>657728.22341301851</v>
      </c>
      <c r="CD88" s="343">
        <v>59</v>
      </c>
      <c r="CE88" s="239">
        <f t="shared" ref="CE88:CH88" si="194">SUM(CE76:CE86)</f>
        <v>1236387.7186147191</v>
      </c>
      <c r="CF88" s="239">
        <f t="shared" si="194"/>
        <v>1440197.5674495185</v>
      </c>
      <c r="CG88" s="239">
        <f t="shared" si="194"/>
        <v>1486715.9679857614</v>
      </c>
      <c r="CH88" s="239">
        <f t="shared" si="194"/>
        <v>1570995.4469190503</v>
      </c>
      <c r="CI88" s="236">
        <f>SUM(CI76:CI86)</f>
        <v>5734296.7009690497</v>
      </c>
      <c r="CJ88" s="239">
        <f t="shared" ref="CJ88:CM88" si="195">SUM(CJ76:CJ86)</f>
        <v>1066073.9935855116</v>
      </c>
      <c r="CK88" s="239">
        <f t="shared" si="195"/>
        <v>942662.17413754738</v>
      </c>
      <c r="CL88" s="239">
        <f t="shared" si="195"/>
        <v>1039225.0275456998</v>
      </c>
      <c r="CM88" s="239">
        <f t="shared" si="195"/>
        <v>1060990.9068461997</v>
      </c>
      <c r="CN88" s="236">
        <f>SUM(CN76:CN86)</f>
        <v>4108952.1021149582</v>
      </c>
      <c r="CO88" s="239">
        <f t="shared" ref="CO88:CR88" si="196">SUM(CO76:CO86)</f>
        <v>2302461.7122002309</v>
      </c>
      <c r="CP88" s="239">
        <f t="shared" si="196"/>
        <v>2382859.7415870661</v>
      </c>
      <c r="CQ88" s="239">
        <f t="shared" si="196"/>
        <v>2525940.9955314612</v>
      </c>
      <c r="CR88" s="239">
        <f t="shared" si="196"/>
        <v>2631986.3537652497</v>
      </c>
      <c r="CS88" s="236">
        <f>SUM(CS76:CS86)</f>
        <v>9843248.8030840084</v>
      </c>
      <c r="CT88" s="361"/>
      <c r="CU88" s="361"/>
      <c r="CV88" s="361"/>
      <c r="CW88" s="361"/>
      <c r="CX88" s="361"/>
      <c r="CY88" s="361"/>
      <c r="CZ88" s="361"/>
      <c r="DA88" s="361"/>
      <c r="DB88" s="361"/>
      <c r="DC88" s="361"/>
      <c r="DD88" s="361"/>
      <c r="DE88" s="361"/>
      <c r="DF88" s="361"/>
      <c r="DG88" s="361"/>
      <c r="DH88" s="361"/>
      <c r="DI88" s="361"/>
      <c r="DJ88" s="361"/>
      <c r="DK88" s="361"/>
      <c r="DL88" s="361"/>
      <c r="DM88" s="361"/>
      <c r="DN88" s="361"/>
      <c r="DO88" s="361"/>
      <c r="DP88" s="361"/>
      <c r="DQ88" s="361"/>
      <c r="DR88" s="361"/>
      <c r="DS88" s="361"/>
      <c r="DT88" s="361"/>
      <c r="DU88" s="361"/>
      <c r="DV88" s="361"/>
      <c r="DW88" s="361"/>
      <c r="DX88" s="361"/>
      <c r="DY88" s="361"/>
      <c r="DZ88" s="361"/>
      <c r="EA88" s="361"/>
    </row>
    <row r="89" spans="1:131" ht="15.75" customHeight="1" x14ac:dyDescent="0.25">
      <c r="B89" s="343"/>
      <c r="C89" s="207" t="s">
        <v>32</v>
      </c>
      <c r="D89" s="207" t="s">
        <v>32</v>
      </c>
      <c r="E89" s="207" t="s">
        <v>32</v>
      </c>
      <c r="F89" s="207" t="s">
        <v>32</v>
      </c>
      <c r="G89" s="207" t="s">
        <v>32</v>
      </c>
      <c r="H89" s="207" t="s">
        <v>32</v>
      </c>
      <c r="I89" s="207" t="s">
        <v>32</v>
      </c>
      <c r="J89" s="207" t="s">
        <v>32</v>
      </c>
      <c r="K89" s="426"/>
      <c r="L89" s="427" t="s">
        <v>32</v>
      </c>
      <c r="M89" s="207" t="s">
        <v>32</v>
      </c>
      <c r="N89" s="207" t="s">
        <v>32</v>
      </c>
      <c r="O89" s="207" t="s">
        <v>32</v>
      </c>
      <c r="P89" s="207" t="s">
        <v>32</v>
      </c>
      <c r="Q89" s="207" t="s">
        <v>32</v>
      </c>
      <c r="R89" s="207" t="s">
        <v>32</v>
      </c>
      <c r="S89" s="207" t="s">
        <v>32</v>
      </c>
      <c r="T89" s="428" t="s">
        <v>32</v>
      </c>
      <c r="U89" s="470" t="s">
        <v>32</v>
      </c>
      <c r="V89" s="343"/>
      <c r="W89" s="207" t="s">
        <v>32</v>
      </c>
      <c r="X89" s="207" t="s">
        <v>32</v>
      </c>
      <c r="Y89" s="207" t="s">
        <v>32</v>
      </c>
      <c r="Z89" s="207" t="s">
        <v>32</v>
      </c>
      <c r="AA89" s="207" t="s">
        <v>32</v>
      </c>
      <c r="AB89" s="207" t="s">
        <v>32</v>
      </c>
      <c r="AC89" s="207" t="s">
        <v>32</v>
      </c>
      <c r="AD89" s="207" t="s">
        <v>32</v>
      </c>
      <c r="AE89" s="426"/>
      <c r="AF89" s="427" t="s">
        <v>32</v>
      </c>
      <c r="AG89" s="207" t="s">
        <v>32</v>
      </c>
      <c r="AH89" s="207" t="s">
        <v>32</v>
      </c>
      <c r="AI89" s="207" t="s">
        <v>32</v>
      </c>
      <c r="AJ89" s="207" t="s">
        <v>32</v>
      </c>
      <c r="AK89" s="207" t="s">
        <v>32</v>
      </c>
      <c r="AL89" s="207" t="s">
        <v>32</v>
      </c>
      <c r="AM89" s="207" t="s">
        <v>32</v>
      </c>
      <c r="AN89" s="428" t="s">
        <v>32</v>
      </c>
      <c r="AO89" s="470" t="s">
        <v>32</v>
      </c>
      <c r="AP89" s="343"/>
      <c r="AQ89" s="207" t="s">
        <v>32</v>
      </c>
      <c r="AR89" s="207" t="s">
        <v>32</v>
      </c>
      <c r="AS89" s="207" t="s">
        <v>32</v>
      </c>
      <c r="AT89" s="207" t="s">
        <v>32</v>
      </c>
      <c r="AU89" s="207" t="s">
        <v>32</v>
      </c>
      <c r="AV89" s="207" t="s">
        <v>32</v>
      </c>
      <c r="AW89" s="207" t="s">
        <v>32</v>
      </c>
      <c r="AX89" s="207" t="s">
        <v>32</v>
      </c>
      <c r="AY89" s="426"/>
      <c r="AZ89" s="427" t="s">
        <v>32</v>
      </c>
      <c r="BA89" s="207" t="s">
        <v>32</v>
      </c>
      <c r="BB89" s="207" t="s">
        <v>32</v>
      </c>
      <c r="BC89" s="207" t="s">
        <v>32</v>
      </c>
      <c r="BD89" s="207" t="s">
        <v>32</v>
      </c>
      <c r="BE89" s="207" t="s">
        <v>32</v>
      </c>
      <c r="BF89" s="207" t="s">
        <v>32</v>
      </c>
      <c r="BG89" s="207" t="s">
        <v>32</v>
      </c>
      <c r="BH89" s="428" t="s">
        <v>32</v>
      </c>
      <c r="BI89" s="470" t="s">
        <v>32</v>
      </c>
      <c r="BJ89" s="343"/>
      <c r="BK89" s="207" t="s">
        <v>32</v>
      </c>
      <c r="BL89" s="207" t="s">
        <v>32</v>
      </c>
      <c r="BM89" s="207" t="s">
        <v>32</v>
      </c>
      <c r="BN89" s="207" t="s">
        <v>32</v>
      </c>
      <c r="BO89" s="207" t="s">
        <v>32</v>
      </c>
      <c r="BP89" s="207" t="s">
        <v>32</v>
      </c>
      <c r="BQ89" s="207" t="s">
        <v>32</v>
      </c>
      <c r="BR89" s="207" t="s">
        <v>32</v>
      </c>
      <c r="BS89" s="426"/>
      <c r="BT89" s="427" t="s">
        <v>32</v>
      </c>
      <c r="BU89" s="207" t="s">
        <v>32</v>
      </c>
      <c r="BV89" s="207" t="s">
        <v>32</v>
      </c>
      <c r="BW89" s="207" t="s">
        <v>32</v>
      </c>
      <c r="BX89" s="207" t="s">
        <v>32</v>
      </c>
      <c r="BY89" s="207" t="s">
        <v>32</v>
      </c>
      <c r="BZ89" s="207" t="s">
        <v>32</v>
      </c>
      <c r="CA89" s="207" t="s">
        <v>32</v>
      </c>
      <c r="CB89" s="428" t="s">
        <v>32</v>
      </c>
      <c r="CC89" s="470" t="s">
        <v>32</v>
      </c>
      <c r="CD89" s="343"/>
      <c r="CE89" s="428" t="s">
        <v>32</v>
      </c>
      <c r="CF89" s="428"/>
      <c r="CG89" s="428"/>
      <c r="CH89" s="428"/>
      <c r="CI89" s="207"/>
      <c r="CJ89" s="428" t="s">
        <v>32</v>
      </c>
      <c r="CK89" s="428"/>
      <c r="CL89" s="428"/>
      <c r="CM89" s="428"/>
      <c r="CN89" s="207"/>
      <c r="CO89" s="428" t="s">
        <v>32</v>
      </c>
      <c r="CP89" s="428"/>
      <c r="CQ89" s="428"/>
      <c r="CR89" s="428"/>
      <c r="CS89" s="207"/>
    </row>
    <row r="90" spans="1:131" s="17" customFormat="1" ht="15.75" customHeight="1" x14ac:dyDescent="0.25">
      <c r="A90" s="19" t="s">
        <v>46</v>
      </c>
      <c r="B90" s="343">
        <v>60</v>
      </c>
      <c r="C90" s="236">
        <f t="shared" ref="C90:U90" si="197">C88+C66+C73-C70</f>
        <v>115386.70949704513</v>
      </c>
      <c r="D90" s="236">
        <f t="shared" si="197"/>
        <v>685911.74713803141</v>
      </c>
      <c r="E90" s="236">
        <f t="shared" si="197"/>
        <v>539505.77766997844</v>
      </c>
      <c r="F90" s="236">
        <f t="shared" si="197"/>
        <v>1657081.585791802</v>
      </c>
      <c r="G90" s="236">
        <f t="shared" si="197"/>
        <v>575739.24796720117</v>
      </c>
      <c r="H90" s="236">
        <f t="shared" si="197"/>
        <v>1581293.2010263475</v>
      </c>
      <c r="I90" s="236">
        <f t="shared" si="197"/>
        <v>501598.85419664846</v>
      </c>
      <c r="J90" s="236">
        <f t="shared" si="197"/>
        <v>1296323.9821379276</v>
      </c>
      <c r="K90" s="241">
        <f t="shared" si="197"/>
        <v>6952841.1054249806</v>
      </c>
      <c r="L90" s="238">
        <f t="shared" si="197"/>
        <v>0</v>
      </c>
      <c r="M90" s="236">
        <f t="shared" si="197"/>
        <v>1130379.200314248</v>
      </c>
      <c r="N90" s="236">
        <f t="shared" si="197"/>
        <v>0</v>
      </c>
      <c r="O90" s="236">
        <f t="shared" si="197"/>
        <v>2394412.581579478</v>
      </c>
      <c r="P90" s="236">
        <f t="shared" si="197"/>
        <v>0</v>
      </c>
      <c r="Q90" s="236">
        <f t="shared" si="197"/>
        <v>2367947.7063676603</v>
      </c>
      <c r="R90" s="236">
        <f t="shared" si="197"/>
        <v>0</v>
      </c>
      <c r="S90" s="236">
        <f t="shared" si="197"/>
        <v>2076412.0133909162</v>
      </c>
      <c r="T90" s="239">
        <f t="shared" si="197"/>
        <v>7969151.5016523032</v>
      </c>
      <c r="U90" s="240">
        <f t="shared" si="197"/>
        <v>14921992.607077288</v>
      </c>
      <c r="V90" s="343">
        <v>60</v>
      </c>
      <c r="W90" s="236">
        <f t="shared" ref="W90:AO90" si="198">W88+W66+W73-W70</f>
        <v>8774.0097405623164</v>
      </c>
      <c r="X90" s="236">
        <f t="shared" si="198"/>
        <v>228360.32413482343</v>
      </c>
      <c r="Y90" s="236">
        <f t="shared" si="198"/>
        <v>3816.4217882447001</v>
      </c>
      <c r="Z90" s="236">
        <f t="shared" si="198"/>
        <v>187506.34443169247</v>
      </c>
      <c r="AA90" s="236">
        <f t="shared" si="198"/>
        <v>4330.3182090421797</v>
      </c>
      <c r="AB90" s="236">
        <f t="shared" si="198"/>
        <v>176172.38882682438</v>
      </c>
      <c r="AC90" s="236">
        <f t="shared" si="198"/>
        <v>15585.659029366478</v>
      </c>
      <c r="AD90" s="236">
        <f t="shared" si="198"/>
        <v>209756.45959100354</v>
      </c>
      <c r="AE90" s="241">
        <f t="shared" si="198"/>
        <v>834301.92575155944</v>
      </c>
      <c r="AF90" s="238">
        <f t="shared" si="198"/>
        <v>0</v>
      </c>
      <c r="AG90" s="236">
        <f t="shared" si="198"/>
        <v>504971.32584460016</v>
      </c>
      <c r="AH90" s="236">
        <f t="shared" si="198"/>
        <v>0</v>
      </c>
      <c r="AI90" s="236">
        <f t="shared" si="198"/>
        <v>376939.74528536311</v>
      </c>
      <c r="AJ90" s="236">
        <f t="shared" si="198"/>
        <v>0</v>
      </c>
      <c r="AK90" s="236">
        <f t="shared" si="198"/>
        <v>408034.3428574109</v>
      </c>
      <c r="AL90" s="236">
        <f t="shared" si="198"/>
        <v>0</v>
      </c>
      <c r="AM90" s="236">
        <f t="shared" si="198"/>
        <v>465034.15840571449</v>
      </c>
      <c r="AN90" s="239">
        <f t="shared" si="198"/>
        <v>1754979.5723930881</v>
      </c>
      <c r="AO90" s="240">
        <f t="shared" si="198"/>
        <v>2589281.498144648</v>
      </c>
      <c r="AP90" s="343">
        <v>60</v>
      </c>
      <c r="AQ90" s="236">
        <f t="shared" ref="AQ90:BI90" si="199">AQ88+AQ66+AQ73-AQ70</f>
        <v>3227376.5800835355</v>
      </c>
      <c r="AR90" s="236">
        <f t="shared" si="199"/>
        <v>9032779.1141830776</v>
      </c>
      <c r="AS90" s="236">
        <f t="shared" si="199"/>
        <v>2904607.5711274603</v>
      </c>
      <c r="AT90" s="236">
        <f t="shared" si="199"/>
        <v>8564932.3726079669</v>
      </c>
      <c r="AU90" s="236">
        <f t="shared" si="199"/>
        <v>3140290.0769769023</v>
      </c>
      <c r="AV90" s="236">
        <f t="shared" si="199"/>
        <v>9016086.4017829038</v>
      </c>
      <c r="AW90" s="236">
        <f t="shared" si="199"/>
        <v>3658336.5402661189</v>
      </c>
      <c r="AX90" s="236">
        <f t="shared" si="199"/>
        <v>9045559.5117746629</v>
      </c>
      <c r="AY90" s="241">
        <f t="shared" si="199"/>
        <v>48589968.168802626</v>
      </c>
      <c r="AZ90" s="238">
        <f t="shared" si="199"/>
        <v>0</v>
      </c>
      <c r="BA90" s="236">
        <f t="shared" si="199"/>
        <v>10225022.52089034</v>
      </c>
      <c r="BB90" s="236">
        <f t="shared" si="199"/>
        <v>0</v>
      </c>
      <c r="BC90" s="236">
        <f t="shared" si="199"/>
        <v>9513187.4268345572</v>
      </c>
      <c r="BD90" s="236">
        <f t="shared" si="199"/>
        <v>0</v>
      </c>
      <c r="BE90" s="236">
        <f t="shared" si="199"/>
        <v>10180113.341326127</v>
      </c>
      <c r="BF90" s="236">
        <f t="shared" si="199"/>
        <v>0</v>
      </c>
      <c r="BG90" s="236">
        <f t="shared" si="199"/>
        <v>10407766.048833553</v>
      </c>
      <c r="BH90" s="239">
        <f t="shared" si="199"/>
        <v>40326089.337884568</v>
      </c>
      <c r="BI90" s="240">
        <f t="shared" si="199"/>
        <v>88916057.506687239</v>
      </c>
      <c r="BJ90" s="343">
        <v>60</v>
      </c>
      <c r="BK90" s="236">
        <f t="shared" ref="BK90:CC90" si="200">BK88+BK66+BK73-BK70</f>
        <v>36958.29057034399</v>
      </c>
      <c r="BL90" s="236">
        <f t="shared" si="200"/>
        <v>1414093.131798639</v>
      </c>
      <c r="BM90" s="236">
        <f t="shared" si="200"/>
        <v>7492.6414793028962</v>
      </c>
      <c r="BN90" s="236">
        <f t="shared" si="200"/>
        <v>1196914.0573574975</v>
      </c>
      <c r="BO90" s="236">
        <f t="shared" si="200"/>
        <v>19769.516683725265</v>
      </c>
      <c r="BP90" s="236">
        <f t="shared" si="200"/>
        <v>1359749.5102725129</v>
      </c>
      <c r="BQ90" s="236">
        <f t="shared" si="200"/>
        <v>55416.664315344286</v>
      </c>
      <c r="BR90" s="236">
        <f t="shared" si="200"/>
        <v>1461238.1536949866</v>
      </c>
      <c r="BS90" s="241">
        <f t="shared" si="200"/>
        <v>5551631.9661723515</v>
      </c>
      <c r="BT90" s="238">
        <f t="shared" si="200"/>
        <v>0</v>
      </c>
      <c r="BU90" s="236">
        <f t="shared" si="200"/>
        <v>590745.80142275069</v>
      </c>
      <c r="BV90" s="236">
        <f t="shared" si="200"/>
        <v>0</v>
      </c>
      <c r="BW90" s="236">
        <f t="shared" si="200"/>
        <v>727743.20976057195</v>
      </c>
      <c r="BX90" s="236">
        <f t="shared" si="200"/>
        <v>0</v>
      </c>
      <c r="BY90" s="236">
        <f t="shared" si="200"/>
        <v>511536.65950274339</v>
      </c>
      <c r="BZ90" s="236">
        <f t="shared" si="200"/>
        <v>0</v>
      </c>
      <c r="CA90" s="236">
        <f t="shared" si="200"/>
        <v>674578.45650705043</v>
      </c>
      <c r="CB90" s="239">
        <f t="shared" si="200"/>
        <v>2504604.1271931166</v>
      </c>
      <c r="CC90" s="240">
        <f t="shared" si="200"/>
        <v>8056236.0933654653</v>
      </c>
      <c r="CD90" s="343">
        <v>60</v>
      </c>
      <c r="CE90" s="239">
        <f t="shared" ref="CE90:CS90" si="201">CE88+CE66+CE73-CE70</f>
        <v>14749639.907146061</v>
      </c>
      <c r="CF90" s="239">
        <f t="shared" si="201"/>
        <v>15061856.772253951</v>
      </c>
      <c r="CG90" s="239">
        <f t="shared" si="201"/>
        <v>15873430.661745464</v>
      </c>
      <c r="CH90" s="239">
        <f t="shared" si="201"/>
        <v>16243815.825006058</v>
      </c>
      <c r="CI90" s="236">
        <f t="shared" si="201"/>
        <v>61928743.166151516</v>
      </c>
      <c r="CJ90" s="239">
        <f t="shared" si="201"/>
        <v>12451118.84847194</v>
      </c>
      <c r="CK90" s="239">
        <f t="shared" si="201"/>
        <v>13012282.963459972</v>
      </c>
      <c r="CL90" s="239">
        <f t="shared" si="201"/>
        <v>13467632.050053937</v>
      </c>
      <c r="CM90" s="239">
        <f t="shared" si="201"/>
        <v>13623790.67713723</v>
      </c>
      <c r="CN90" s="236">
        <f t="shared" si="201"/>
        <v>4108952.1021149582</v>
      </c>
      <c r="CO90" s="239">
        <f t="shared" si="201"/>
        <v>27200758.755617999</v>
      </c>
      <c r="CP90" s="239">
        <f t="shared" si="201"/>
        <v>28074139.735713914</v>
      </c>
      <c r="CQ90" s="239">
        <f t="shared" si="201"/>
        <v>29341062.711799394</v>
      </c>
      <c r="CR90" s="239">
        <f t="shared" si="201"/>
        <v>29867606.502143286</v>
      </c>
      <c r="CS90" s="236">
        <f t="shared" si="201"/>
        <v>114483567.70527464</v>
      </c>
      <c r="CT90" s="361"/>
      <c r="CU90" s="361"/>
      <c r="CV90" s="361"/>
      <c r="CW90" s="361"/>
      <c r="CX90" s="361"/>
      <c r="CY90" s="361"/>
      <c r="CZ90" s="361"/>
      <c r="DA90" s="361"/>
      <c r="DB90" s="361"/>
      <c r="DC90" s="361"/>
      <c r="DD90" s="361"/>
      <c r="DE90" s="361"/>
      <c r="DF90" s="361"/>
      <c r="DG90" s="361"/>
      <c r="DH90" s="361"/>
      <c r="DI90" s="361"/>
      <c r="DJ90" s="361"/>
      <c r="DK90" s="361"/>
      <c r="DL90" s="361"/>
      <c r="DM90" s="361"/>
      <c r="DN90" s="361"/>
      <c r="DO90" s="361"/>
      <c r="DP90" s="361"/>
      <c r="DQ90" s="361"/>
      <c r="DR90" s="361"/>
      <c r="DS90" s="361"/>
      <c r="DT90" s="361"/>
      <c r="DU90" s="361"/>
      <c r="DV90" s="361"/>
      <c r="DW90" s="361"/>
      <c r="DX90" s="361"/>
      <c r="DY90" s="361"/>
      <c r="DZ90" s="361"/>
      <c r="EA90" s="361"/>
    </row>
    <row r="91" spans="1:131" ht="15.75" customHeight="1" x14ac:dyDescent="0.25">
      <c r="B91" s="343"/>
      <c r="C91" s="207" t="s">
        <v>32</v>
      </c>
      <c r="D91" s="207" t="s">
        <v>32</v>
      </c>
      <c r="E91" s="207" t="s">
        <v>32</v>
      </c>
      <c r="F91" s="207" t="s">
        <v>32</v>
      </c>
      <c r="G91" s="207" t="s">
        <v>32</v>
      </c>
      <c r="H91" s="207" t="s">
        <v>32</v>
      </c>
      <c r="I91" s="207" t="s">
        <v>32</v>
      </c>
      <c r="J91" s="207" t="s">
        <v>32</v>
      </c>
      <c r="K91" s="426"/>
      <c r="L91" s="427" t="s">
        <v>32</v>
      </c>
      <c r="M91" s="207" t="s">
        <v>32</v>
      </c>
      <c r="N91" s="207" t="s">
        <v>32</v>
      </c>
      <c r="O91" s="207" t="s">
        <v>32</v>
      </c>
      <c r="P91" s="207" t="s">
        <v>32</v>
      </c>
      <c r="Q91" s="207" t="s">
        <v>32</v>
      </c>
      <c r="R91" s="207" t="s">
        <v>32</v>
      </c>
      <c r="S91" s="207" t="s">
        <v>32</v>
      </c>
      <c r="T91" s="428" t="s">
        <v>32</v>
      </c>
      <c r="U91" s="470" t="s">
        <v>32</v>
      </c>
      <c r="V91" s="343"/>
      <c r="W91" s="207" t="s">
        <v>32</v>
      </c>
      <c r="X91" s="207" t="s">
        <v>32</v>
      </c>
      <c r="Y91" s="207" t="s">
        <v>32</v>
      </c>
      <c r="Z91" s="207" t="s">
        <v>32</v>
      </c>
      <c r="AA91" s="207" t="s">
        <v>32</v>
      </c>
      <c r="AB91" s="207" t="s">
        <v>32</v>
      </c>
      <c r="AC91" s="207" t="s">
        <v>32</v>
      </c>
      <c r="AD91" s="207" t="s">
        <v>32</v>
      </c>
      <c r="AE91" s="426"/>
      <c r="AF91" s="427" t="s">
        <v>32</v>
      </c>
      <c r="AG91" s="207" t="s">
        <v>32</v>
      </c>
      <c r="AH91" s="207" t="s">
        <v>32</v>
      </c>
      <c r="AI91" s="207" t="s">
        <v>32</v>
      </c>
      <c r="AJ91" s="207" t="s">
        <v>32</v>
      </c>
      <c r="AK91" s="207" t="s">
        <v>32</v>
      </c>
      <c r="AL91" s="207" t="s">
        <v>32</v>
      </c>
      <c r="AM91" s="207" t="s">
        <v>32</v>
      </c>
      <c r="AN91" s="428"/>
      <c r="AO91" s="470" t="s">
        <v>32</v>
      </c>
      <c r="AP91" s="343"/>
      <c r="AQ91" s="207" t="s">
        <v>32</v>
      </c>
      <c r="AR91" s="207" t="s">
        <v>32</v>
      </c>
      <c r="AS91" s="207" t="s">
        <v>32</v>
      </c>
      <c r="AT91" s="207" t="s">
        <v>32</v>
      </c>
      <c r="AU91" s="207" t="s">
        <v>32</v>
      </c>
      <c r="AV91" s="207" t="s">
        <v>32</v>
      </c>
      <c r="AW91" s="207" t="s">
        <v>32</v>
      </c>
      <c r="AX91" s="207" t="s">
        <v>32</v>
      </c>
      <c r="AY91" s="426"/>
      <c r="AZ91" s="427" t="s">
        <v>32</v>
      </c>
      <c r="BA91" s="207" t="s">
        <v>32</v>
      </c>
      <c r="BB91" s="207" t="s">
        <v>32</v>
      </c>
      <c r="BC91" s="207" t="s">
        <v>32</v>
      </c>
      <c r="BD91" s="207" t="s">
        <v>32</v>
      </c>
      <c r="BE91" s="207" t="s">
        <v>32</v>
      </c>
      <c r="BF91" s="207" t="s">
        <v>32</v>
      </c>
      <c r="BG91" s="207" t="s">
        <v>32</v>
      </c>
      <c r="BH91" s="428"/>
      <c r="BI91" s="470" t="s">
        <v>32</v>
      </c>
      <c r="BJ91" s="343"/>
      <c r="BK91" s="207" t="s">
        <v>32</v>
      </c>
      <c r="BL91" s="207" t="s">
        <v>32</v>
      </c>
      <c r="BM91" s="207" t="s">
        <v>32</v>
      </c>
      <c r="BN91" s="207" t="s">
        <v>32</v>
      </c>
      <c r="BO91" s="207" t="s">
        <v>32</v>
      </c>
      <c r="BP91" s="207" t="s">
        <v>32</v>
      </c>
      <c r="BQ91" s="207" t="s">
        <v>32</v>
      </c>
      <c r="BR91" s="207" t="s">
        <v>32</v>
      </c>
      <c r="BS91" s="426"/>
      <c r="BT91" s="427" t="s">
        <v>32</v>
      </c>
      <c r="BU91" s="207" t="s">
        <v>32</v>
      </c>
      <c r="BV91" s="207" t="s">
        <v>32</v>
      </c>
      <c r="BW91" s="207" t="s">
        <v>32</v>
      </c>
      <c r="BX91" s="207" t="s">
        <v>32</v>
      </c>
      <c r="BY91" s="207" t="s">
        <v>32</v>
      </c>
      <c r="BZ91" s="207" t="s">
        <v>32</v>
      </c>
      <c r="CA91" s="207" t="s">
        <v>32</v>
      </c>
      <c r="CB91" s="428"/>
      <c r="CC91" s="470" t="s">
        <v>32</v>
      </c>
      <c r="CD91" s="343"/>
      <c r="CE91" s="428" t="s">
        <v>32</v>
      </c>
      <c r="CF91" s="428"/>
      <c r="CG91" s="428"/>
      <c r="CH91" s="428"/>
      <c r="CI91" s="207"/>
      <c r="CJ91" s="428" t="s">
        <v>32</v>
      </c>
      <c r="CK91" s="428"/>
      <c r="CL91" s="428"/>
      <c r="CM91" s="428"/>
      <c r="CN91" s="207"/>
      <c r="CO91" s="428" t="s">
        <v>32</v>
      </c>
      <c r="CP91" s="428"/>
      <c r="CQ91" s="428"/>
      <c r="CR91" s="428"/>
      <c r="CS91" s="207"/>
    </row>
    <row r="92" spans="1:131" s="17" customFormat="1" ht="15.75" customHeight="1" x14ac:dyDescent="0.25">
      <c r="A92" s="19" t="s">
        <v>47</v>
      </c>
      <c r="B92" s="343">
        <v>61</v>
      </c>
      <c r="C92" s="236">
        <f t="shared" ref="C92:J92" si="202">C32-C90</f>
        <v>-8189.729497045133</v>
      </c>
      <c r="D92" s="236">
        <f t="shared" si="202"/>
        <v>-289921.83713803039</v>
      </c>
      <c r="E92" s="236">
        <f t="shared" si="202"/>
        <v>-415545.83766997844</v>
      </c>
      <c r="F92" s="236">
        <f t="shared" si="202"/>
        <v>-1265453.765791801</v>
      </c>
      <c r="G92" s="236">
        <f t="shared" si="202"/>
        <v>-422031.14796720119</v>
      </c>
      <c r="H92" s="236">
        <f t="shared" si="202"/>
        <v>-1184392.4910263466</v>
      </c>
      <c r="I92" s="236">
        <f t="shared" si="202"/>
        <v>-342646.35419664846</v>
      </c>
      <c r="J92" s="236">
        <f t="shared" si="202"/>
        <v>-887389.01213792549</v>
      </c>
      <c r="K92" s="241">
        <f>SUM(C92:J92)</f>
        <v>-4815570.1754249772</v>
      </c>
      <c r="L92" s="238">
        <f t="shared" ref="L92:U92" si="203">L32-L90</f>
        <v>0</v>
      </c>
      <c r="M92" s="236">
        <f t="shared" si="203"/>
        <v>168629.65503951302</v>
      </c>
      <c r="N92" s="236">
        <f t="shared" si="203"/>
        <v>0</v>
      </c>
      <c r="O92" s="236">
        <f t="shared" si="203"/>
        <v>-1249583.904909208</v>
      </c>
      <c r="P92" s="236">
        <f t="shared" si="203"/>
        <v>0</v>
      </c>
      <c r="Q92" s="236">
        <f t="shared" si="203"/>
        <v>-1106113.6228201443</v>
      </c>
      <c r="R92" s="236">
        <f t="shared" si="203"/>
        <v>0</v>
      </c>
      <c r="S92" s="236">
        <f t="shared" si="203"/>
        <v>-812584.55014097923</v>
      </c>
      <c r="T92" s="239">
        <f t="shared" si="203"/>
        <v>-2999652.4228308192</v>
      </c>
      <c r="U92" s="240">
        <f t="shared" si="203"/>
        <v>-7815222.5982557982</v>
      </c>
      <c r="V92" s="343">
        <v>61</v>
      </c>
      <c r="W92" s="236">
        <f t="shared" ref="W92:AD92" si="204">W32-W90</f>
        <v>14199.030259437684</v>
      </c>
      <c r="X92" s="236">
        <f t="shared" si="204"/>
        <v>80974.605865176563</v>
      </c>
      <c r="Y92" s="236">
        <f t="shared" si="204"/>
        <v>13096.858211755298</v>
      </c>
      <c r="Z92" s="236">
        <f t="shared" si="204"/>
        <v>116020.30556830755</v>
      </c>
      <c r="AA92" s="236">
        <f t="shared" si="204"/>
        <v>9553.08179095782</v>
      </c>
      <c r="AB92" s="236">
        <f t="shared" si="204"/>
        <v>131311.56117317564</v>
      </c>
      <c r="AC92" s="236">
        <f t="shared" si="204"/>
        <v>12897.120970633521</v>
      </c>
      <c r="AD92" s="236">
        <f t="shared" si="204"/>
        <v>123530.34040899744</v>
      </c>
      <c r="AE92" s="241">
        <f>SUM(W92:AD92)</f>
        <v>501582.90424844151</v>
      </c>
      <c r="AF92" s="238">
        <f t="shared" ref="AF92:AM92" si="205">AF32-AF90</f>
        <v>0</v>
      </c>
      <c r="AG92" s="236">
        <f t="shared" si="205"/>
        <v>45808.233257080021</v>
      </c>
      <c r="AH92" s="236">
        <f t="shared" si="205"/>
        <v>0</v>
      </c>
      <c r="AI92" s="236">
        <f t="shared" si="205"/>
        <v>149068.43544854101</v>
      </c>
      <c r="AJ92" s="236">
        <f t="shared" si="205"/>
        <v>0</v>
      </c>
      <c r="AK92" s="236">
        <f t="shared" si="205"/>
        <v>192143.37070547044</v>
      </c>
      <c r="AL92" s="236">
        <f t="shared" si="205"/>
        <v>0</v>
      </c>
      <c r="AM92" s="236">
        <f t="shared" si="205"/>
        <v>135199.81953281543</v>
      </c>
      <c r="AN92" s="239">
        <f>SUM(AF92:AM92)</f>
        <v>522219.8589439069</v>
      </c>
      <c r="AO92" s="240">
        <f>AO32-AO90</f>
        <v>1023802.7631923486</v>
      </c>
      <c r="AP92" s="343">
        <v>61</v>
      </c>
      <c r="AQ92" s="236">
        <f t="shared" ref="AQ92:AX92" si="206">AQ32-AQ90</f>
        <v>-415395.58008354576</v>
      </c>
      <c r="AR92" s="236">
        <f t="shared" si="206"/>
        <v>-19581.284183297306</v>
      </c>
      <c r="AS92" s="236">
        <f t="shared" si="206"/>
        <v>102259.71887253923</v>
      </c>
      <c r="AT92" s="236">
        <f t="shared" si="206"/>
        <v>672320.37739181146</v>
      </c>
      <c r="AU92" s="236">
        <f t="shared" si="206"/>
        <v>-12179.206976902205</v>
      </c>
      <c r="AV92" s="236">
        <f t="shared" si="206"/>
        <v>705564.59821670689</v>
      </c>
      <c r="AW92" s="236">
        <f t="shared" si="206"/>
        <v>-330966.38026611879</v>
      </c>
      <c r="AX92" s="236">
        <f t="shared" si="206"/>
        <v>935119.80822493881</v>
      </c>
      <c r="AY92" s="241">
        <f>SUM(AQ92:AX92)</f>
        <v>1637142.0511961323</v>
      </c>
      <c r="AZ92" s="238">
        <f t="shared" ref="AZ92:BG92" si="207">AZ32-AZ90</f>
        <v>0</v>
      </c>
      <c r="BA92" s="236">
        <f t="shared" si="207"/>
        <v>1536984.6551402453</v>
      </c>
      <c r="BB92" s="236">
        <f t="shared" si="207"/>
        <v>0</v>
      </c>
      <c r="BC92" s="236">
        <f t="shared" si="207"/>
        <v>52154.451873870566</v>
      </c>
      <c r="BD92" s="236">
        <f t="shared" si="207"/>
        <v>0</v>
      </c>
      <c r="BE92" s="236">
        <f t="shared" si="207"/>
        <v>628642.1983393319</v>
      </c>
      <c r="BF92" s="236">
        <f t="shared" si="207"/>
        <v>0</v>
      </c>
      <c r="BG92" s="236">
        <f t="shared" si="207"/>
        <v>342376.33553484082</v>
      </c>
      <c r="BH92" s="239">
        <f>SUM(AZ92:BG92)</f>
        <v>2560157.6408882886</v>
      </c>
      <c r="BI92" s="240">
        <f>BI32-BI90</f>
        <v>4197299.6920844018</v>
      </c>
      <c r="BJ92" s="343">
        <v>61</v>
      </c>
      <c r="BK92" s="236">
        <f t="shared" ref="BK92:BR92" si="208">BK32-BK90</f>
        <v>37629.454477039282</v>
      </c>
      <c r="BL92" s="236">
        <f t="shared" si="208"/>
        <v>-145413.28685619263</v>
      </c>
      <c r="BM92" s="236">
        <f t="shared" si="208"/>
        <v>51043.843555384425</v>
      </c>
      <c r="BN92" s="236">
        <f t="shared" si="208"/>
        <v>125087.72607028089</v>
      </c>
      <c r="BO92" s="236">
        <f t="shared" si="208"/>
        <v>64378.338437354309</v>
      </c>
      <c r="BP92" s="236">
        <f t="shared" si="208"/>
        <v>-17744.727557332022</v>
      </c>
      <c r="BQ92" s="236">
        <f t="shared" si="208"/>
        <v>59842.261216804225</v>
      </c>
      <c r="BR92" s="236">
        <f t="shared" si="208"/>
        <v>159660.20226098271</v>
      </c>
      <c r="BS92" s="241">
        <f>SUM(BK92:BR92)</f>
        <v>334483.81160432118</v>
      </c>
      <c r="BT92" s="238">
        <f t="shared" ref="BT92:CA92" si="209">BT32-BT90</f>
        <v>0</v>
      </c>
      <c r="BU92" s="236">
        <f t="shared" si="209"/>
        <v>-65298.543627831619</v>
      </c>
      <c r="BV92" s="236">
        <f t="shared" si="209"/>
        <v>0</v>
      </c>
      <c r="BW92" s="236">
        <f t="shared" si="209"/>
        <v>-221722.82326978951</v>
      </c>
      <c r="BX92" s="236">
        <f t="shared" si="209"/>
        <v>0</v>
      </c>
      <c r="BY92" s="236">
        <f t="shared" si="209"/>
        <v>-32827.522029919433</v>
      </c>
      <c r="BZ92" s="236">
        <f t="shared" si="209"/>
        <v>0</v>
      </c>
      <c r="CA92" s="236">
        <f t="shared" si="209"/>
        <v>-181322.67556860443</v>
      </c>
      <c r="CB92" s="239">
        <f>SUM(BT92:CA92)</f>
        <v>-501171.564496145</v>
      </c>
      <c r="CC92" s="240">
        <f>CC32-CC90</f>
        <v>-166687.75289181899</v>
      </c>
      <c r="CD92" s="343">
        <v>61</v>
      </c>
      <c r="CE92" s="239">
        <f t="shared" ref="CE92:CS92" si="210">CE32-CE90</f>
        <v>-745698.62715646066</v>
      </c>
      <c r="CF92" s="239">
        <f t="shared" si="210"/>
        <v>-601170.77379170619</v>
      </c>
      <c r="CG92" s="239">
        <f t="shared" si="210"/>
        <v>-725539.99390959181</v>
      </c>
      <c r="CH92" s="239">
        <f t="shared" si="210"/>
        <v>-269952.0135183353</v>
      </c>
      <c r="CI92" s="236">
        <f t="shared" si="210"/>
        <v>-2342361.4083760753</v>
      </c>
      <c r="CJ92" s="239">
        <f t="shared" si="210"/>
        <v>1686123.9998090044</v>
      </c>
      <c r="CK92" s="239">
        <f t="shared" si="210"/>
        <v>-1270083.8408565894</v>
      </c>
      <c r="CL92" s="239">
        <f t="shared" si="210"/>
        <v>-318155.57580525801</v>
      </c>
      <c r="CM92" s="239">
        <f t="shared" si="210"/>
        <v>-516331.0706419237</v>
      </c>
      <c r="CN92" s="236">
        <f t="shared" si="210"/>
        <v>-4108952.1021149582</v>
      </c>
      <c r="CO92" s="239">
        <f t="shared" si="210"/>
        <v>940425.3726525493</v>
      </c>
      <c r="CP92" s="239">
        <f t="shared" si="210"/>
        <v>-1871254.6146482825</v>
      </c>
      <c r="CQ92" s="239">
        <f t="shared" si="210"/>
        <v>-1043695.5697148442</v>
      </c>
      <c r="CR92" s="239">
        <f t="shared" si="210"/>
        <v>-786283.08416025341</v>
      </c>
      <c r="CS92" s="236">
        <f t="shared" si="210"/>
        <v>-2760807.8958708644</v>
      </c>
      <c r="CT92" s="361"/>
      <c r="CU92" s="361"/>
      <c r="CV92" s="361"/>
      <c r="CW92" s="361"/>
      <c r="CX92" s="361"/>
      <c r="CY92" s="361"/>
      <c r="CZ92" s="361"/>
      <c r="DA92" s="361"/>
      <c r="DB92" s="361"/>
      <c r="DC92" s="361"/>
      <c r="DD92" s="361"/>
      <c r="DE92" s="361"/>
      <c r="DF92" s="361"/>
      <c r="DG92" s="361"/>
      <c r="DH92" s="361"/>
      <c r="DI92" s="361"/>
      <c r="DJ92" s="361"/>
      <c r="DK92" s="361"/>
      <c r="DL92" s="361"/>
      <c r="DM92" s="361"/>
      <c r="DN92" s="361"/>
      <c r="DO92" s="361"/>
      <c r="DP92" s="361"/>
      <c r="DQ92" s="361"/>
      <c r="DR92" s="361"/>
      <c r="DS92" s="361"/>
      <c r="DT92" s="361"/>
      <c r="DU92" s="361"/>
      <c r="DV92" s="361"/>
      <c r="DW92" s="361"/>
      <c r="DX92" s="361"/>
      <c r="DY92" s="361"/>
      <c r="DZ92" s="361"/>
      <c r="EA92" s="361"/>
    </row>
    <row r="93" spans="1:131" ht="15.75" customHeight="1" x14ac:dyDescent="0.25">
      <c r="B93" s="343"/>
      <c r="C93" s="349" t="s">
        <v>35</v>
      </c>
      <c r="D93" s="349" t="s">
        <v>35</v>
      </c>
      <c r="E93" s="349" t="s">
        <v>35</v>
      </c>
      <c r="F93" s="349" t="s">
        <v>35</v>
      </c>
      <c r="G93" s="349" t="s">
        <v>35</v>
      </c>
      <c r="H93" s="349" t="s">
        <v>35</v>
      </c>
      <c r="I93" s="349" t="s">
        <v>35</v>
      </c>
      <c r="J93" s="349" t="s">
        <v>35</v>
      </c>
      <c r="K93" s="432"/>
      <c r="L93" s="433" t="s">
        <v>35</v>
      </c>
      <c r="M93" s="349" t="s">
        <v>35</v>
      </c>
      <c r="N93" s="349" t="s">
        <v>35</v>
      </c>
      <c r="O93" s="349" t="s">
        <v>35</v>
      </c>
      <c r="P93" s="349" t="s">
        <v>35</v>
      </c>
      <c r="Q93" s="349" t="s">
        <v>35</v>
      </c>
      <c r="R93" s="349" t="s">
        <v>35</v>
      </c>
      <c r="S93" s="349" t="s">
        <v>35</v>
      </c>
      <c r="T93" s="434" t="s">
        <v>35</v>
      </c>
      <c r="U93" s="433" t="s">
        <v>35</v>
      </c>
      <c r="V93" s="343"/>
      <c r="W93" s="349" t="s">
        <v>35</v>
      </c>
      <c r="X93" s="349" t="s">
        <v>35</v>
      </c>
      <c r="Y93" s="349" t="s">
        <v>35</v>
      </c>
      <c r="Z93" s="349" t="s">
        <v>35</v>
      </c>
      <c r="AA93" s="349" t="s">
        <v>35</v>
      </c>
      <c r="AB93" s="349" t="s">
        <v>35</v>
      </c>
      <c r="AC93" s="349" t="s">
        <v>35</v>
      </c>
      <c r="AD93" s="349" t="s">
        <v>35</v>
      </c>
      <c r="AE93" s="432"/>
      <c r="AF93" s="433" t="s">
        <v>35</v>
      </c>
      <c r="AG93" s="349" t="s">
        <v>35</v>
      </c>
      <c r="AH93" s="349" t="s">
        <v>35</v>
      </c>
      <c r="AI93" s="349" t="s">
        <v>35</v>
      </c>
      <c r="AJ93" s="349" t="s">
        <v>35</v>
      </c>
      <c r="AK93" s="349" t="s">
        <v>35</v>
      </c>
      <c r="AL93" s="349" t="s">
        <v>35</v>
      </c>
      <c r="AM93" s="349" t="s">
        <v>35</v>
      </c>
      <c r="AN93" s="434" t="s">
        <v>35</v>
      </c>
      <c r="AO93" s="433" t="s">
        <v>35</v>
      </c>
      <c r="AP93" s="343"/>
      <c r="AQ93" s="349" t="s">
        <v>35</v>
      </c>
      <c r="AR93" s="349" t="s">
        <v>35</v>
      </c>
      <c r="AS93" s="349" t="s">
        <v>35</v>
      </c>
      <c r="AT93" s="349" t="s">
        <v>35</v>
      </c>
      <c r="AU93" s="349" t="s">
        <v>35</v>
      </c>
      <c r="AV93" s="349" t="s">
        <v>35</v>
      </c>
      <c r="AW93" s="349" t="s">
        <v>35</v>
      </c>
      <c r="AX93" s="349" t="s">
        <v>35</v>
      </c>
      <c r="AY93" s="432"/>
      <c r="AZ93" s="433" t="s">
        <v>35</v>
      </c>
      <c r="BA93" s="349" t="s">
        <v>35</v>
      </c>
      <c r="BB93" s="349" t="s">
        <v>35</v>
      </c>
      <c r="BC93" s="349" t="s">
        <v>35</v>
      </c>
      <c r="BD93" s="349" t="s">
        <v>35</v>
      </c>
      <c r="BE93" s="349" t="s">
        <v>35</v>
      </c>
      <c r="BF93" s="349" t="s">
        <v>35</v>
      </c>
      <c r="BG93" s="349" t="s">
        <v>35</v>
      </c>
      <c r="BH93" s="434" t="s">
        <v>35</v>
      </c>
      <c r="BI93" s="433" t="s">
        <v>35</v>
      </c>
      <c r="BJ93" s="343"/>
      <c r="BK93" s="349" t="s">
        <v>35</v>
      </c>
      <c r="BL93" s="349" t="s">
        <v>35</v>
      </c>
      <c r="BM93" s="349" t="s">
        <v>35</v>
      </c>
      <c r="BN93" s="349" t="s">
        <v>35</v>
      </c>
      <c r="BO93" s="349" t="s">
        <v>35</v>
      </c>
      <c r="BP93" s="349" t="s">
        <v>35</v>
      </c>
      <c r="BQ93" s="349" t="s">
        <v>35</v>
      </c>
      <c r="BR93" s="349" t="s">
        <v>35</v>
      </c>
      <c r="BS93" s="432"/>
      <c r="BT93" s="433" t="s">
        <v>35</v>
      </c>
      <c r="BU93" s="349" t="s">
        <v>35</v>
      </c>
      <c r="BV93" s="349" t="s">
        <v>35</v>
      </c>
      <c r="BW93" s="349" t="s">
        <v>35</v>
      </c>
      <c r="BX93" s="349" t="s">
        <v>35</v>
      </c>
      <c r="BY93" s="349" t="s">
        <v>35</v>
      </c>
      <c r="BZ93" s="349" t="s">
        <v>35</v>
      </c>
      <c r="CA93" s="349" t="s">
        <v>35</v>
      </c>
      <c r="CB93" s="434" t="s">
        <v>35</v>
      </c>
      <c r="CC93" s="433" t="s">
        <v>35</v>
      </c>
      <c r="CD93" s="343"/>
      <c r="CE93" s="434" t="s">
        <v>35</v>
      </c>
      <c r="CF93" s="434"/>
      <c r="CG93" s="434"/>
      <c r="CH93" s="434"/>
      <c r="CI93" s="349"/>
      <c r="CJ93" s="434" t="s">
        <v>35</v>
      </c>
      <c r="CK93" s="434"/>
      <c r="CL93" s="434"/>
      <c r="CM93" s="434"/>
      <c r="CN93" s="349"/>
      <c r="CO93" s="434" t="s">
        <v>35</v>
      </c>
      <c r="CP93" s="434"/>
      <c r="CQ93" s="434"/>
      <c r="CR93" s="434"/>
      <c r="CS93" s="349"/>
    </row>
    <row r="94" spans="1:131" ht="15.75" customHeight="1" x14ac:dyDescent="0.25">
      <c r="A94" s="148" t="s">
        <v>48</v>
      </c>
      <c r="B94" s="343">
        <v>62</v>
      </c>
      <c r="C94" s="435">
        <f t="shared" ref="C94:U94" si="211">IF((C32-C28)=0,"",C92/(C32-C28))</f>
        <v>-7.6398882664839379E-2</v>
      </c>
      <c r="D94" s="435">
        <f t="shared" si="211"/>
        <v>-0.73214450625277205</v>
      </c>
      <c r="E94" s="435">
        <f t="shared" si="211"/>
        <v>-3.3522591062078479</v>
      </c>
      <c r="F94" s="435">
        <f t="shared" si="211"/>
        <v>-3.231266271614202</v>
      </c>
      <c r="G94" s="435">
        <f t="shared" si="211"/>
        <v>-2.7456662854280367</v>
      </c>
      <c r="H94" s="435">
        <f t="shared" si="211"/>
        <v>-2.9841027269171265</v>
      </c>
      <c r="I94" s="435">
        <f t="shared" si="211"/>
        <v>-2.1556525011978325</v>
      </c>
      <c r="J94" s="435">
        <f t="shared" si="211"/>
        <v>-2.1700003111446331</v>
      </c>
      <c r="K94" s="436">
        <f t="shared" si="211"/>
        <v>-2.2531397904826997</v>
      </c>
      <c r="L94" s="437" t="str">
        <f t="shared" si="211"/>
        <v/>
      </c>
      <c r="M94" s="435">
        <f t="shared" si="211"/>
        <v>0.12981409198599331</v>
      </c>
      <c r="N94" s="435" t="str">
        <f t="shared" si="211"/>
        <v/>
      </c>
      <c r="O94" s="435">
        <f t="shared" si="211"/>
        <v>-1.0915029736533313</v>
      </c>
      <c r="P94" s="435" t="str">
        <f t="shared" si="211"/>
        <v/>
      </c>
      <c r="Q94" s="435">
        <f t="shared" si="211"/>
        <v>-0.87659196818524687</v>
      </c>
      <c r="R94" s="435" t="str">
        <f t="shared" si="211"/>
        <v/>
      </c>
      <c r="S94" s="435">
        <f t="shared" si="211"/>
        <v>-0.64295528762400456</v>
      </c>
      <c r="T94" s="438">
        <f t="shared" si="211"/>
        <v>-0.60361263283344568</v>
      </c>
      <c r="U94" s="437">
        <f t="shared" si="211"/>
        <v>-1.0996870010644668</v>
      </c>
      <c r="V94" s="343">
        <v>62</v>
      </c>
      <c r="W94" s="435">
        <f t="shared" ref="W94:AO94" si="212">IF((W32-W28)=0,"",W92/(W32-W28))</f>
        <v>0.61807363150186845</v>
      </c>
      <c r="X94" s="435">
        <f t="shared" si="212"/>
        <v>0.26177000400561479</v>
      </c>
      <c r="Y94" s="435">
        <f t="shared" si="212"/>
        <v>0.77435353827024078</v>
      </c>
      <c r="Z94" s="435">
        <f t="shared" si="212"/>
        <v>0.38224091877371408</v>
      </c>
      <c r="AA94" s="435">
        <f t="shared" si="212"/>
        <v>0.68809382362806082</v>
      </c>
      <c r="AB94" s="435">
        <f t="shared" si="212"/>
        <v>0.42705175724838851</v>
      </c>
      <c r="AC94" s="435">
        <f t="shared" si="212"/>
        <v>0.4528041494065369</v>
      </c>
      <c r="AD94" s="435">
        <f t="shared" si="212"/>
        <v>0.37064276295669996</v>
      </c>
      <c r="AE94" s="436">
        <f t="shared" si="212"/>
        <v>0.37546867288585134</v>
      </c>
      <c r="AF94" s="437" t="str">
        <f t="shared" si="212"/>
        <v/>
      </c>
      <c r="AG94" s="435">
        <f t="shared" si="212"/>
        <v>8.3169813585299193E-2</v>
      </c>
      <c r="AH94" s="435" t="str">
        <f t="shared" si="212"/>
        <v/>
      </c>
      <c r="AI94" s="435">
        <f t="shared" si="212"/>
        <v>0.28339565981760162</v>
      </c>
      <c r="AJ94" s="435" t="str">
        <f t="shared" si="212"/>
        <v/>
      </c>
      <c r="AK94" s="435">
        <f t="shared" si="212"/>
        <v>0.32014412791977048</v>
      </c>
      <c r="AL94" s="435" t="str">
        <f t="shared" si="212"/>
        <v/>
      </c>
      <c r="AM94" s="435">
        <f t="shared" si="212"/>
        <v>0.22524519521062714</v>
      </c>
      <c r="AN94" s="438">
        <f t="shared" si="212"/>
        <v>0.22932548276516113</v>
      </c>
      <c r="AO94" s="437">
        <f t="shared" si="212"/>
        <v>0.28335978049222066</v>
      </c>
      <c r="AP94" s="343">
        <v>62</v>
      </c>
      <c r="AQ94" s="435">
        <f t="shared" ref="AQ94:BI94" si="213">IF((AQ32-AQ28)=0,"",AQ92/(AQ32-AQ28))</f>
        <v>-0.14772346615554915</v>
      </c>
      <c r="AR94" s="435">
        <f t="shared" si="213"/>
        <v>-2.1725124148637247E-3</v>
      </c>
      <c r="AS94" s="435">
        <f t="shared" si="213"/>
        <v>3.4008723701450506E-2</v>
      </c>
      <c r="AT94" s="435">
        <f t="shared" si="213"/>
        <v>7.278358572486042E-2</v>
      </c>
      <c r="AU94" s="435">
        <f t="shared" si="213"/>
        <v>-3.8934703669573595E-3</v>
      </c>
      <c r="AV94" s="435">
        <f t="shared" si="213"/>
        <v>7.2576622861357104E-2</v>
      </c>
      <c r="AW94" s="435">
        <f t="shared" si="213"/>
        <v>-9.9467857302091928E-2</v>
      </c>
      <c r="AX94" s="435">
        <f t="shared" si="213"/>
        <v>9.3693002073628004E-2</v>
      </c>
      <c r="AY94" s="436">
        <f t="shared" si="213"/>
        <v>3.259478883067967E-2</v>
      </c>
      <c r="AZ94" s="437" t="str">
        <f t="shared" si="213"/>
        <v/>
      </c>
      <c r="BA94" s="435">
        <f t="shared" si="213"/>
        <v>0.13067367092518162</v>
      </c>
      <c r="BB94" s="435" t="str">
        <f t="shared" si="213"/>
        <v/>
      </c>
      <c r="BC94" s="435">
        <f t="shared" si="213"/>
        <v>5.4524399164405804E-3</v>
      </c>
      <c r="BD94" s="435" t="str">
        <f t="shared" si="213"/>
        <v/>
      </c>
      <c r="BE94" s="435">
        <f t="shared" si="213"/>
        <v>5.8160460381620302E-2</v>
      </c>
      <c r="BF94" s="435" t="str">
        <f t="shared" si="213"/>
        <v/>
      </c>
      <c r="BG94" s="435">
        <f t="shared" si="213"/>
        <v>3.1848539609362257E-2</v>
      </c>
      <c r="BH94" s="438">
        <f t="shared" si="213"/>
        <v>5.9696471975164291E-2</v>
      </c>
      <c r="BI94" s="437">
        <f t="shared" si="213"/>
        <v>4.5077310263062588E-2</v>
      </c>
      <c r="BJ94" s="343">
        <v>62</v>
      </c>
      <c r="BK94" s="435">
        <f t="shared" ref="BK94:CC94" si="214">IF((BK32-BK28)=0,"",BK92/(BK32-BK28))</f>
        <v>0.50449915670643297</v>
      </c>
      <c r="BL94" s="435">
        <f t="shared" si="214"/>
        <v>-0.11461779536884603</v>
      </c>
      <c r="BM94" s="435">
        <f t="shared" si="214"/>
        <v>0.87200048867192936</v>
      </c>
      <c r="BN94" s="435">
        <f t="shared" si="214"/>
        <v>9.4619937460254183E-2</v>
      </c>
      <c r="BO94" s="435">
        <f t="shared" si="214"/>
        <v>0.7650621438267311</v>
      </c>
      <c r="BP94" s="435">
        <f t="shared" si="214"/>
        <v>-1.3222551652483983E-2</v>
      </c>
      <c r="BQ94" s="435">
        <f t="shared" si="214"/>
        <v>0.51919849973018151</v>
      </c>
      <c r="BR94" s="435">
        <f t="shared" si="214"/>
        <v>9.8501057561267452E-2</v>
      </c>
      <c r="BS94" s="436">
        <f t="shared" si="214"/>
        <v>5.68258974563806E-2</v>
      </c>
      <c r="BT94" s="437" t="str">
        <f t="shared" si="214"/>
        <v/>
      </c>
      <c r="BU94" s="435">
        <f t="shared" si="214"/>
        <v>-0.12427230832236544</v>
      </c>
      <c r="BV94" s="435" t="str">
        <f t="shared" si="214"/>
        <v/>
      </c>
      <c r="BW94" s="435">
        <f t="shared" si="214"/>
        <v>-0.4381697441232012</v>
      </c>
      <c r="BX94" s="435" t="str">
        <f t="shared" si="214"/>
        <v/>
      </c>
      <c r="BY94" s="435">
        <f t="shared" si="214"/>
        <v>-6.8575089673910877E-2</v>
      </c>
      <c r="BZ94" s="435" t="str">
        <f t="shared" si="214"/>
        <v/>
      </c>
      <c r="CA94" s="435">
        <f t="shared" si="214"/>
        <v>-0.36760375159441244</v>
      </c>
      <c r="CB94" s="438">
        <f t="shared" si="214"/>
        <v>-0.25015644341004434</v>
      </c>
      <c r="CC94" s="437">
        <f t="shared" si="214"/>
        <v>-2.1127667351590364E-2</v>
      </c>
      <c r="CD94" s="343">
        <v>62</v>
      </c>
      <c r="CE94" s="438">
        <f t="shared" ref="CE94:CS94" si="215">IF((CE32-CE28)=0,"",CE92/(CE32-CE28))</f>
        <v>-5.3249196940149866E-2</v>
      </c>
      <c r="CF94" s="438">
        <f t="shared" si="215"/>
        <v>-4.1572770050856155E-2</v>
      </c>
      <c r="CG94" s="438">
        <f t="shared" si="215"/>
        <v>-4.7897097346375768E-2</v>
      </c>
      <c r="CH94" s="438">
        <f t="shared" si="215"/>
        <v>-1.6899606551308975E-2</v>
      </c>
      <c r="CI94" s="471">
        <f t="shared" si="215"/>
        <v>-3.9310348090911225E-2</v>
      </c>
      <c r="CJ94" s="438">
        <f t="shared" si="215"/>
        <v>0.11926823482515427</v>
      </c>
      <c r="CK94" s="438">
        <f t="shared" si="215"/>
        <v>-0.10816405237173299</v>
      </c>
      <c r="CL94" s="438">
        <f t="shared" si="215"/>
        <v>-2.4195303625077321E-2</v>
      </c>
      <c r="CM94" s="438">
        <f t="shared" si="215"/>
        <v>-3.9392154249787627E-2</v>
      </c>
      <c r="CN94" s="471" t="str">
        <f t="shared" si="215"/>
        <v/>
      </c>
      <c r="CO94" s="438">
        <f t="shared" si="215"/>
        <v>3.3418116606820425E-2</v>
      </c>
      <c r="CP94" s="438">
        <f t="shared" si="215"/>
        <v>-7.1414067802171147E-2</v>
      </c>
      <c r="CQ94" s="438">
        <f t="shared" si="215"/>
        <v>-3.6883133489922254E-2</v>
      </c>
      <c r="CR94" s="438">
        <f t="shared" si="215"/>
        <v>-2.7037390040992395E-2</v>
      </c>
      <c r="CS94" s="471">
        <f t="shared" si="215"/>
        <v>-2.4711239684561438E-2</v>
      </c>
    </row>
    <row r="95" spans="1:131" s="360" customFormat="1" ht="15.75" customHeight="1" x14ac:dyDescent="0.25">
      <c r="A95" s="148" t="s">
        <v>1446</v>
      </c>
      <c r="B95" s="343">
        <v>63</v>
      </c>
      <c r="C95" s="440">
        <f>IF((C32-C28-C25)=0,"",(C73+C66-C64)/(C32-C28-C25))</f>
        <v>0.987518045468599</v>
      </c>
      <c r="D95" s="440">
        <f t="shared" ref="D95:U95" si="216">IF((D32-D28-D25)=0,"",(D73+D66-D64)/(D32-D28-D25))</f>
        <v>1.6432636690565319</v>
      </c>
      <c r="E95" s="440">
        <f t="shared" si="216"/>
        <v>4.2519971942189407</v>
      </c>
      <c r="F95" s="440">
        <f t="shared" si="216"/>
        <v>4.1310043596252957</v>
      </c>
      <c r="G95" s="440">
        <f t="shared" si="216"/>
        <v>3.6468535189994795</v>
      </c>
      <c r="H95" s="440">
        <f t="shared" si="216"/>
        <v>3.8852899604885689</v>
      </c>
      <c r="I95" s="440">
        <f t="shared" si="216"/>
        <v>3.0547209869097056</v>
      </c>
      <c r="J95" s="440">
        <f t="shared" si="216"/>
        <v>3.0690687968565062</v>
      </c>
      <c r="K95" s="436">
        <f t="shared" si="216"/>
        <v>3.155752788314734</v>
      </c>
      <c r="L95" s="441" t="str">
        <f t="shared" si="216"/>
        <v/>
      </c>
      <c r="M95" s="440">
        <f t="shared" si="216"/>
        <v>0.79598431892484711</v>
      </c>
      <c r="N95" s="440" t="str">
        <f t="shared" si="216"/>
        <v/>
      </c>
      <c r="O95" s="440">
        <f t="shared" si="216"/>
        <v>2.0115764443257964</v>
      </c>
      <c r="P95" s="440" t="str">
        <f t="shared" si="216"/>
        <v/>
      </c>
      <c r="Q95" s="440">
        <f t="shared" si="216"/>
        <v>1.8004850158171539</v>
      </c>
      <c r="R95" s="440" t="str">
        <f t="shared" si="216"/>
        <v/>
      </c>
      <c r="S95" s="440">
        <f t="shared" si="216"/>
        <v>1.5652268252958912</v>
      </c>
      <c r="T95" s="438">
        <f t="shared" si="216"/>
        <v>1.5267114381844464</v>
      </c>
      <c r="U95" s="442">
        <f t="shared" si="216"/>
        <v>2.0166249596688424</v>
      </c>
      <c r="V95" s="343">
        <v>63</v>
      </c>
      <c r="W95" s="440">
        <f>IF((W32-W28-W25)=0,"",(W73+W66-W64)/(W32-W28-W25))</f>
        <v>0.29304553130189109</v>
      </c>
      <c r="X95" s="440">
        <f t="shared" ref="X95:AO95" si="217">IF((X32-X28-X25)=0,"",(X73+X66-X64)/(X32-X28-X25))</f>
        <v>0.64934915879814481</v>
      </c>
      <c r="Y95" s="440">
        <f t="shared" si="217"/>
        <v>0.12538454974085275</v>
      </c>
      <c r="Z95" s="440">
        <f t="shared" si="217"/>
        <v>0.51749716923737954</v>
      </c>
      <c r="AA95" s="440">
        <f t="shared" si="217"/>
        <v>0.21309340994338208</v>
      </c>
      <c r="AB95" s="440">
        <f t="shared" si="217"/>
        <v>0.47413547632305442</v>
      </c>
      <c r="AC95" s="440">
        <f t="shared" si="217"/>
        <v>0.44626433630533613</v>
      </c>
      <c r="AD95" s="440">
        <f t="shared" si="217"/>
        <v>0.52842572275517308</v>
      </c>
      <c r="AE95" s="436">
        <f t="shared" si="217"/>
        <v>0.52726779350094899</v>
      </c>
      <c r="AF95" s="441" t="str">
        <f t="shared" si="217"/>
        <v/>
      </c>
      <c r="AG95" s="440">
        <f t="shared" si="217"/>
        <v>0.84140881255985678</v>
      </c>
      <c r="AH95" s="440" t="str">
        <f t="shared" si="217"/>
        <v/>
      </c>
      <c r="AI95" s="440">
        <f t="shared" si="217"/>
        <v>0.63798178123791394</v>
      </c>
      <c r="AJ95" s="440" t="str">
        <f t="shared" si="217"/>
        <v/>
      </c>
      <c r="AK95" s="440">
        <f t="shared" si="217"/>
        <v>0.60468046535255238</v>
      </c>
      <c r="AL95" s="440" t="str">
        <f t="shared" si="217"/>
        <v/>
      </c>
      <c r="AM95" s="440">
        <f t="shared" si="217"/>
        <v>0.69251674276000352</v>
      </c>
      <c r="AN95" s="438">
        <f t="shared" si="217"/>
        <v>0.69278175974133926</v>
      </c>
      <c r="AO95" s="442">
        <f t="shared" si="217"/>
        <v>0.63158540209762071</v>
      </c>
      <c r="AP95" s="343">
        <v>63</v>
      </c>
      <c r="AQ95" s="440">
        <f>IF((AQ32-AQ28-AQ25)=0,"",(AQ73+AQ66-AQ64)/(AQ32-AQ28-AQ25))</f>
        <v>1.0588426289593087</v>
      </c>
      <c r="AR95" s="440">
        <f t="shared" ref="AR95:BI95" si="218">IF((AR32-AR28-AR25)=0,"",(AR73+AR66-AR64)/(AR32-AR28-AR25))</f>
        <v>0.91329167521862353</v>
      </c>
      <c r="AS95" s="440">
        <f t="shared" si="218"/>
        <v>0.86572936430964309</v>
      </c>
      <c r="AT95" s="440">
        <f t="shared" si="218"/>
        <v>0.82695450228623335</v>
      </c>
      <c r="AU95" s="440">
        <f t="shared" si="218"/>
        <v>0.90508070393840034</v>
      </c>
      <c r="AV95" s="440">
        <f t="shared" si="218"/>
        <v>0.82861061071008579</v>
      </c>
      <c r="AW95" s="440">
        <f t="shared" si="218"/>
        <v>0.99853634301396499</v>
      </c>
      <c r="AX95" s="440">
        <f t="shared" si="218"/>
        <v>0.80537548363824507</v>
      </c>
      <c r="AY95" s="436">
        <f t="shared" si="218"/>
        <v>0.87001611664700462</v>
      </c>
      <c r="AZ95" s="441" t="str">
        <f t="shared" si="218"/>
        <v/>
      </c>
      <c r="BA95" s="440">
        <f t="shared" si="218"/>
        <v>0.79354168012664905</v>
      </c>
      <c r="BB95" s="440" t="str">
        <f t="shared" si="218"/>
        <v/>
      </c>
      <c r="BC95" s="440">
        <f t="shared" si="218"/>
        <v>0.91374049656897049</v>
      </c>
      <c r="BD95" s="440" t="str">
        <f t="shared" si="218"/>
        <v/>
      </c>
      <c r="BE95" s="440">
        <f t="shared" si="218"/>
        <v>0.86213378258036832</v>
      </c>
      <c r="BF95" s="440" t="str">
        <f t="shared" si="218"/>
        <v/>
      </c>
      <c r="BG95" s="440">
        <f t="shared" si="218"/>
        <v>0.88717691135393295</v>
      </c>
      <c r="BH95" s="438">
        <f t="shared" si="218"/>
        <v>0.8611094975992688</v>
      </c>
      <c r="BI95" s="442">
        <f t="shared" si="218"/>
        <v>0.86591389677524533</v>
      </c>
      <c r="BJ95" s="343">
        <v>63</v>
      </c>
      <c r="BK95" s="440">
        <f>IF((BK32-BK28-BK25)=0,"",(BK73+BK66-BK64)/(BK32-BK28-BK25))</f>
        <v>0.44361341251252384</v>
      </c>
      <c r="BL95" s="440">
        <f t="shared" ref="BL95:CS95" si="219">IF((BL32-BL28-BL25)=0,"",(BL73+BL66-BL64)/(BL32-BL28-BL25))</f>
        <v>1.1089527784073685</v>
      </c>
      <c r="BM95" s="440">
        <f t="shared" si="219"/>
        <v>3.7339241163251019E-2</v>
      </c>
      <c r="BN95" s="440">
        <f t="shared" si="219"/>
        <v>0.87303352760954456</v>
      </c>
      <c r="BO95" s="440">
        <f t="shared" si="219"/>
        <v>0.1542420029477298</v>
      </c>
      <c r="BP95" s="440">
        <f t="shared" si="219"/>
        <v>0.99254306405188364</v>
      </c>
      <c r="BQ95" s="440">
        <f t="shared" si="219"/>
        <v>0.52799442295922117</v>
      </c>
      <c r="BR95" s="440">
        <f t="shared" si="219"/>
        <v>1.0782995550462966</v>
      </c>
      <c r="BS95" s="436">
        <f t="shared" si="219"/>
        <v>0.97329472517239335</v>
      </c>
      <c r="BT95" s="441" t="str">
        <f t="shared" si="219"/>
        <v/>
      </c>
      <c r="BU95" s="440">
        <f t="shared" si="219"/>
        <v>1.0543027044619895</v>
      </c>
      <c r="BV95" s="440" t="str">
        <f t="shared" si="219"/>
        <v/>
      </c>
      <c r="BW95" s="440">
        <f t="shared" si="219"/>
        <v>1.3653333636254226</v>
      </c>
      <c r="BX95" s="440" t="str">
        <f t="shared" si="219"/>
        <v/>
      </c>
      <c r="BY95" s="440">
        <f t="shared" si="219"/>
        <v>0.99221967562883218</v>
      </c>
      <c r="BZ95" s="440" t="str">
        <f t="shared" si="219"/>
        <v/>
      </c>
      <c r="CA95" s="440">
        <f t="shared" si="219"/>
        <v>1.2806194072169963</v>
      </c>
      <c r="CB95" s="438">
        <f t="shared" si="219"/>
        <v>1.173747784665057</v>
      </c>
      <c r="CC95" s="442">
        <f t="shared" si="219"/>
        <v>1.02915785586812</v>
      </c>
      <c r="CD95" s="343">
        <v>63</v>
      </c>
      <c r="CE95" s="438">
        <f t="shared" ref="CE95:CN95" si="220">IF((CE32-CE28-CE25)=0,"",(CE73+CE66-CE64)/(CE32-CE28-CE25))</f>
        <v>0.97143408145974008</v>
      </c>
      <c r="CF95" s="438">
        <f t="shared" si="220"/>
        <v>0.94829600271689785</v>
      </c>
      <c r="CG95" s="438">
        <f t="shared" si="220"/>
        <v>0.95619547332552923</v>
      </c>
      <c r="CH95" s="438">
        <f t="shared" si="220"/>
        <v>0.94268254089619841</v>
      </c>
      <c r="CI95" s="439">
        <f t="shared" si="220"/>
        <v>0.95429653122314206</v>
      </c>
      <c r="CJ95" s="438">
        <f t="shared" si="220"/>
        <v>0.80532286083426963</v>
      </c>
      <c r="CK95" s="438">
        <f t="shared" si="220"/>
        <v>1.0278841861988837</v>
      </c>
      <c r="CL95" s="438">
        <f t="shared" si="220"/>
        <v>0.94516363802372283</v>
      </c>
      <c r="CM95" s="438">
        <f t="shared" si="220"/>
        <v>0.95844657526662347</v>
      </c>
      <c r="CN95" s="439" t="str">
        <f t="shared" si="220"/>
        <v/>
      </c>
      <c r="CO95" s="438">
        <f t="shared" si="219"/>
        <v>0.88770739892768957</v>
      </c>
      <c r="CP95" s="438">
        <f t="shared" si="219"/>
        <v>0.98409315695032296</v>
      </c>
      <c r="CQ95" s="438">
        <f t="shared" si="219"/>
        <v>0.95105053640878012</v>
      </c>
      <c r="CR95" s="438">
        <f t="shared" si="219"/>
        <v>0.94988899272104754</v>
      </c>
      <c r="CS95" s="439">
        <f t="shared" si="219"/>
        <v>0.94251786543683347</v>
      </c>
    </row>
    <row r="96" spans="1:131" s="360" customFormat="1" ht="15.75" customHeight="1" x14ac:dyDescent="0.25">
      <c r="A96" s="148" t="s">
        <v>1529</v>
      </c>
      <c r="B96" s="343">
        <v>64</v>
      </c>
      <c r="C96" s="440">
        <f>IF((C32-C28)=0,"",(C73)/(C32-C28))</f>
        <v>3.090169405012454E-2</v>
      </c>
      <c r="D96" s="440">
        <f t="shared" ref="D96:U96" si="221">IF((D32-D28)=0,"",(D73)/(D32-D28))</f>
        <v>3.0901694050124537E-2</v>
      </c>
      <c r="E96" s="440">
        <f t="shared" si="221"/>
        <v>3.3452807766538292E-2</v>
      </c>
      <c r="F96" s="440">
        <f t="shared" si="221"/>
        <v>3.3452807766538299E-2</v>
      </c>
      <c r="G96" s="440">
        <f t="shared" si="221"/>
        <v>3.4899848854720555E-2</v>
      </c>
      <c r="H96" s="440">
        <f t="shared" si="221"/>
        <v>3.4899848854720555E-2</v>
      </c>
      <c r="I96" s="440">
        <f t="shared" si="221"/>
        <v>3.3520489019398178E-2</v>
      </c>
      <c r="J96" s="440">
        <f t="shared" si="221"/>
        <v>3.3520489019398178E-2</v>
      </c>
      <c r="K96" s="436">
        <f t="shared" si="221"/>
        <v>3.3242961619442471E-2</v>
      </c>
      <c r="L96" s="441" t="str">
        <f t="shared" si="221"/>
        <v/>
      </c>
      <c r="M96" s="440">
        <f t="shared" si="221"/>
        <v>2.478630945919948E-2</v>
      </c>
      <c r="N96" s="440" t="str">
        <f t="shared" si="221"/>
        <v/>
      </c>
      <c r="O96" s="440">
        <f t="shared" si="221"/>
        <v>2.5785576721432245E-2</v>
      </c>
      <c r="P96" s="440" t="str">
        <f t="shared" si="221"/>
        <v/>
      </c>
      <c r="Q96" s="440">
        <f t="shared" si="221"/>
        <v>2.6056747671407463E-2</v>
      </c>
      <c r="R96" s="440" t="str">
        <f t="shared" si="221"/>
        <v/>
      </c>
      <c r="S96" s="440">
        <f t="shared" si="221"/>
        <v>2.5039635608913608E-2</v>
      </c>
      <c r="T96" s="438">
        <f t="shared" si="221"/>
        <v>2.5403521083788922E-2</v>
      </c>
      <c r="U96" s="442">
        <f t="shared" si="221"/>
        <v>2.7761133380728085E-2</v>
      </c>
      <c r="V96" s="343">
        <v>64</v>
      </c>
      <c r="W96" s="440">
        <f t="shared" ref="W96:AO96" si="222">IF((W32-W28)=0,"",(W73)/(W32-W28))</f>
        <v>3.090169405012454E-2</v>
      </c>
      <c r="X96" s="440">
        <f t="shared" si="222"/>
        <v>3.090169405012454E-2</v>
      </c>
      <c r="Y96" s="440">
        <f t="shared" si="222"/>
        <v>3.3452807766538299E-2</v>
      </c>
      <c r="Z96" s="440">
        <f t="shared" si="222"/>
        <v>3.3452807766538299E-2</v>
      </c>
      <c r="AA96" s="440">
        <f t="shared" si="222"/>
        <v>3.4899848854720555E-2</v>
      </c>
      <c r="AB96" s="440">
        <f t="shared" si="222"/>
        <v>3.4899848854720555E-2</v>
      </c>
      <c r="AC96" s="440">
        <f t="shared" si="222"/>
        <v>3.3520489019398178E-2</v>
      </c>
      <c r="AD96" s="440">
        <f t="shared" si="222"/>
        <v>3.3520489019398185E-2</v>
      </c>
      <c r="AE96" s="436">
        <f t="shared" si="222"/>
        <v>3.3184641953120556E-2</v>
      </c>
      <c r="AF96" s="441" t="str">
        <f t="shared" si="222"/>
        <v/>
      </c>
      <c r="AG96" s="440">
        <f t="shared" si="222"/>
        <v>2.5193766537235162E-2</v>
      </c>
      <c r="AH96" s="440" t="str">
        <f t="shared" si="222"/>
        <v/>
      </c>
      <c r="AI96" s="440">
        <f t="shared" si="222"/>
        <v>2.5364895019905607E-2</v>
      </c>
      <c r="AJ96" s="440" t="str">
        <f t="shared" si="222"/>
        <v/>
      </c>
      <c r="AK96" s="440">
        <f t="shared" si="222"/>
        <v>2.5737814263335629E-2</v>
      </c>
      <c r="AL96" s="440" t="str">
        <f t="shared" si="222"/>
        <v/>
      </c>
      <c r="AM96" s="440">
        <f t="shared" si="222"/>
        <v>2.6492369007714865E-2</v>
      </c>
      <c r="AN96" s="438">
        <f t="shared" si="222"/>
        <v>2.5718975534005342E-2</v>
      </c>
      <c r="AO96" s="442">
        <f t="shared" si="222"/>
        <v>2.8479296023028729E-2</v>
      </c>
      <c r="AP96" s="343">
        <v>64</v>
      </c>
      <c r="AQ96" s="440">
        <f t="shared" ref="AQ96:BI96" si="223">IF((AQ32-AQ28)=0,"",(AQ73)/(AQ32-AQ28))</f>
        <v>3.0901694050124537E-2</v>
      </c>
      <c r="AR96" s="440">
        <f t="shared" si="223"/>
        <v>3.0901694050124537E-2</v>
      </c>
      <c r="AS96" s="440">
        <f t="shared" si="223"/>
        <v>3.3452807766538292E-2</v>
      </c>
      <c r="AT96" s="440">
        <f t="shared" si="223"/>
        <v>3.3452807766538292E-2</v>
      </c>
      <c r="AU96" s="440">
        <f t="shared" si="223"/>
        <v>3.4899848854720555E-2</v>
      </c>
      <c r="AV96" s="440">
        <f t="shared" si="223"/>
        <v>3.4899848854720555E-2</v>
      </c>
      <c r="AW96" s="440">
        <f t="shared" si="223"/>
        <v>3.3520489019398178E-2</v>
      </c>
      <c r="AX96" s="440">
        <f t="shared" si="223"/>
        <v>3.3520489019398171E-2</v>
      </c>
      <c r="AY96" s="436">
        <f t="shared" si="223"/>
        <v>3.3240322178489594E-2</v>
      </c>
      <c r="AZ96" s="441" t="str">
        <f t="shared" si="223"/>
        <v/>
      </c>
      <c r="BA96" s="440">
        <f t="shared" si="223"/>
        <v>2.5315115001499994E-2</v>
      </c>
      <c r="BB96" s="440" t="str">
        <f t="shared" si="223"/>
        <v/>
      </c>
      <c r="BC96" s="440">
        <f t="shared" si="223"/>
        <v>2.6069651133609949E-2</v>
      </c>
      <c r="BD96" s="440" t="str">
        <f t="shared" si="223"/>
        <v/>
      </c>
      <c r="BE96" s="440">
        <f t="shared" si="223"/>
        <v>2.7288870917510016E-2</v>
      </c>
      <c r="BF96" s="440" t="str">
        <f t="shared" si="223"/>
        <v/>
      </c>
      <c r="BG96" s="440">
        <f t="shared" si="223"/>
        <v>2.6085337863963463E-2</v>
      </c>
      <c r="BH96" s="438">
        <f t="shared" si="223"/>
        <v>2.6173927541380183E-2</v>
      </c>
      <c r="BI96" s="442">
        <f t="shared" si="223"/>
        <v>2.998567478123574E-2</v>
      </c>
      <c r="BJ96" s="343">
        <v>64</v>
      </c>
      <c r="BK96" s="440">
        <f t="shared" ref="BK96:CC96" si="224">IF((BK32-BK28)=0,"",(BK73)/(BK32-BK28))</f>
        <v>2.8754893539997783E-2</v>
      </c>
      <c r="BL96" s="440">
        <f t="shared" si="224"/>
        <v>2.8754893539997779E-2</v>
      </c>
      <c r="BM96" s="440">
        <f t="shared" si="224"/>
        <v>3.1118511353853816E-2</v>
      </c>
      <c r="BN96" s="440">
        <f t="shared" si="224"/>
        <v>3.1118511353853812E-2</v>
      </c>
      <c r="BO96" s="440">
        <f t="shared" si="224"/>
        <v>3.2401269064828382E-2</v>
      </c>
      <c r="BP96" s="440">
        <f t="shared" si="224"/>
        <v>3.2401269064828375E-2</v>
      </c>
      <c r="BQ96" s="440">
        <f t="shared" si="224"/>
        <v>2.5625754092514292E-2</v>
      </c>
      <c r="BR96" s="440">
        <f t="shared" si="224"/>
        <v>2.5625754092514292E-2</v>
      </c>
      <c r="BS96" s="436">
        <f t="shared" si="224"/>
        <v>2.9269778872737736E-2</v>
      </c>
      <c r="BT96" s="441" t="str">
        <f t="shared" si="224"/>
        <v/>
      </c>
      <c r="BU96" s="440">
        <f t="shared" si="224"/>
        <v>2.337265650654707E-2</v>
      </c>
      <c r="BV96" s="440" t="str">
        <f t="shared" si="224"/>
        <v/>
      </c>
      <c r="BW96" s="440">
        <f t="shared" si="224"/>
        <v>2.3498181307741086E-2</v>
      </c>
      <c r="BX96" s="440" t="str">
        <f t="shared" si="224"/>
        <v/>
      </c>
      <c r="BY96" s="440">
        <f t="shared" si="224"/>
        <v>2.6141813529673853E-2</v>
      </c>
      <c r="BZ96" s="440" t="str">
        <f t="shared" si="224"/>
        <v/>
      </c>
      <c r="CA96" s="440">
        <f t="shared" si="224"/>
        <v>2.8021347929109659E-2</v>
      </c>
      <c r="CB96" s="438">
        <f t="shared" si="224"/>
        <v>2.5210568530650034E-2</v>
      </c>
      <c r="CC96" s="442">
        <f t="shared" si="224"/>
        <v>2.8239003240569337E-2</v>
      </c>
      <c r="CD96" s="343">
        <v>64</v>
      </c>
      <c r="CE96" s="438">
        <f t="shared" ref="CE96:CS96" si="225">IF((CE32-CE28)=0,"",(CE73)/(CE32-CE28))</f>
        <v>3.0695771482343745E-2</v>
      </c>
      <c r="CF96" s="438">
        <f t="shared" si="225"/>
        <v>3.3229956269175839E-2</v>
      </c>
      <c r="CG96" s="438">
        <f t="shared" si="225"/>
        <v>3.4664611075657013E-2</v>
      </c>
      <c r="CH96" s="438">
        <f t="shared" si="225"/>
        <v>3.2662431026010817E-2</v>
      </c>
      <c r="CI96" s="439">
        <f t="shared" si="225"/>
        <v>3.2846946744794048E-2</v>
      </c>
      <c r="CJ96" s="438">
        <f t="shared" si="225"/>
        <v>2.5189601218901066E-2</v>
      </c>
      <c r="CK96" s="438">
        <f t="shared" si="225"/>
        <v>2.5899568839068455E-2</v>
      </c>
      <c r="CL96" s="438">
        <f t="shared" si="225"/>
        <v>2.7058082140323462E-2</v>
      </c>
      <c r="CM96" s="438">
        <f t="shared" si="225"/>
        <v>2.6076005380565488E-2</v>
      </c>
      <c r="CN96" s="439" t="str">
        <f t="shared" si="225"/>
        <v/>
      </c>
      <c r="CO96" s="438">
        <f t="shared" si="225"/>
        <v>2.7929645301460238E-2</v>
      </c>
      <c r="CP96" s="438">
        <f t="shared" si="225"/>
        <v>2.994501766594735E-2</v>
      </c>
      <c r="CQ96" s="438">
        <f t="shared" si="225"/>
        <v>3.1129940419421114E-2</v>
      </c>
      <c r="CR96" s="438">
        <f t="shared" si="225"/>
        <v>2.9693814128559898E-2</v>
      </c>
      <c r="CS96" s="439">
        <f t="shared" si="225"/>
        <v>2.9672109066369932E-2</v>
      </c>
    </row>
    <row r="97" spans="1:102" ht="15.75" customHeight="1" x14ac:dyDescent="0.25">
      <c r="A97" s="148" t="s">
        <v>49</v>
      </c>
      <c r="B97" s="343">
        <v>65</v>
      </c>
      <c r="C97" s="440">
        <f t="shared" ref="C97:U97" si="226">IF((C32-C28)=0,"",C88/(C32-C28))</f>
        <v>8.8880837196240389E-2</v>
      </c>
      <c r="D97" s="440">
        <f t="shared" si="226"/>
        <v>8.8880837196240375E-2</v>
      </c>
      <c r="E97" s="440">
        <f t="shared" si="226"/>
        <v>0.10026191198890635</v>
      </c>
      <c r="F97" s="440">
        <f t="shared" si="226"/>
        <v>0.10026191198890637</v>
      </c>
      <c r="G97" s="440">
        <f t="shared" si="226"/>
        <v>9.8812766428557061E-2</v>
      </c>
      <c r="H97" s="440">
        <f t="shared" si="226"/>
        <v>9.8812766428557047E-2</v>
      </c>
      <c r="I97" s="440">
        <f t="shared" si="226"/>
        <v>0.10093151428812694</v>
      </c>
      <c r="J97" s="440">
        <f t="shared" si="226"/>
        <v>0.10093151428812695</v>
      </c>
      <c r="K97" s="443">
        <f t="shared" si="226"/>
        <v>9.7387002167965156E-2</v>
      </c>
      <c r="L97" s="441" t="str">
        <f t="shared" si="226"/>
        <v/>
      </c>
      <c r="M97" s="440">
        <f t="shared" si="226"/>
        <v>7.4201589089159581E-2</v>
      </c>
      <c r="N97" s="440" t="str">
        <f t="shared" si="226"/>
        <v/>
      </c>
      <c r="O97" s="440">
        <f t="shared" si="226"/>
        <v>7.9926529327535037E-2</v>
      </c>
      <c r="P97" s="440" t="str">
        <f t="shared" si="226"/>
        <v/>
      </c>
      <c r="Q97" s="440">
        <f t="shared" si="226"/>
        <v>7.6106952368093062E-2</v>
      </c>
      <c r="R97" s="440" t="str">
        <f t="shared" si="226"/>
        <v/>
      </c>
      <c r="S97" s="440">
        <f t="shared" si="226"/>
        <v>7.7728462328113382E-2</v>
      </c>
      <c r="T97" s="444">
        <f t="shared" si="226"/>
        <v>7.6901194648999319E-2</v>
      </c>
      <c r="U97" s="441">
        <f t="shared" si="226"/>
        <v>8.3062041395624481E-2</v>
      </c>
      <c r="V97" s="343">
        <v>65</v>
      </c>
      <c r="W97" s="440">
        <f t="shared" ref="W97:AO97" si="227">IF((W32-W28)=0,"",W88/(W32-W28))</f>
        <v>8.8880837196240389E-2</v>
      </c>
      <c r="X97" s="440">
        <f t="shared" si="227"/>
        <v>8.8880837196240389E-2</v>
      </c>
      <c r="Y97" s="440">
        <f t="shared" si="227"/>
        <v>0.10026191198890637</v>
      </c>
      <c r="Z97" s="440">
        <f t="shared" si="227"/>
        <v>0.10026191198890638</v>
      </c>
      <c r="AA97" s="440">
        <f t="shared" si="227"/>
        <v>9.8812766428557061E-2</v>
      </c>
      <c r="AB97" s="440">
        <f t="shared" si="227"/>
        <v>9.8812766428557061E-2</v>
      </c>
      <c r="AC97" s="440">
        <f t="shared" si="227"/>
        <v>0.10093151428812695</v>
      </c>
      <c r="AD97" s="440">
        <f t="shared" si="227"/>
        <v>0.10093151428812695</v>
      </c>
      <c r="AE97" s="443">
        <f t="shared" si="227"/>
        <v>9.7263533613199643E-2</v>
      </c>
      <c r="AF97" s="441" t="str">
        <f t="shared" si="227"/>
        <v/>
      </c>
      <c r="AG97" s="440">
        <f t="shared" si="227"/>
        <v>7.5421373854844098E-2</v>
      </c>
      <c r="AH97" s="440" t="str">
        <f t="shared" si="227"/>
        <v/>
      </c>
      <c r="AI97" s="440">
        <f t="shared" si="227"/>
        <v>7.8622558944484458E-2</v>
      </c>
      <c r="AJ97" s="440" t="str">
        <f t="shared" si="227"/>
        <v/>
      </c>
      <c r="AK97" s="440">
        <f t="shared" si="227"/>
        <v>7.5175406727677169E-2</v>
      </c>
      <c r="AL97" s="440" t="str">
        <f t="shared" si="227"/>
        <v/>
      </c>
      <c r="AM97" s="440">
        <f t="shared" si="227"/>
        <v>8.2238062029369369E-2</v>
      </c>
      <c r="AN97" s="444">
        <f t="shared" si="227"/>
        <v>7.7892757493499387E-2</v>
      </c>
      <c r="AO97" s="441">
        <f t="shared" si="227"/>
        <v>8.5054817410158565E-2</v>
      </c>
      <c r="AP97" s="343">
        <v>65</v>
      </c>
      <c r="AQ97" s="440">
        <f t="shared" ref="AQ97:BI97" si="228">IF((AQ32-AQ28)=0,"",AQ88/(AQ32-AQ28))</f>
        <v>8.8880837196240403E-2</v>
      </c>
      <c r="AR97" s="440">
        <f t="shared" si="228"/>
        <v>8.8880837196240375E-2</v>
      </c>
      <c r="AS97" s="440">
        <f t="shared" si="228"/>
        <v>0.10026191198890637</v>
      </c>
      <c r="AT97" s="440">
        <f t="shared" si="228"/>
        <v>0.10026191198890637</v>
      </c>
      <c r="AU97" s="440">
        <f t="shared" si="228"/>
        <v>9.8812766428557061E-2</v>
      </c>
      <c r="AV97" s="440">
        <f t="shared" si="228"/>
        <v>9.8812766428557075E-2</v>
      </c>
      <c r="AW97" s="440">
        <f t="shared" si="228"/>
        <v>0.10093151428812694</v>
      </c>
      <c r="AX97" s="440">
        <f t="shared" si="228"/>
        <v>0.10093151428812693</v>
      </c>
      <c r="AY97" s="443">
        <f t="shared" si="228"/>
        <v>9.7389094522315756E-2</v>
      </c>
      <c r="AZ97" s="441" t="str">
        <f t="shared" si="228"/>
        <v/>
      </c>
      <c r="BA97" s="440">
        <f t="shared" si="228"/>
        <v>7.5784648948169372E-2</v>
      </c>
      <c r="BB97" s="440" t="str">
        <f t="shared" si="228"/>
        <v/>
      </c>
      <c r="BC97" s="440">
        <f t="shared" si="228"/>
        <v>8.0807063514588995E-2</v>
      </c>
      <c r="BD97" s="440" t="str">
        <f t="shared" si="228"/>
        <v/>
      </c>
      <c r="BE97" s="440">
        <f t="shared" si="228"/>
        <v>7.9705757038011485E-2</v>
      </c>
      <c r="BF97" s="440" t="str">
        <f t="shared" si="228"/>
        <v/>
      </c>
      <c r="BG97" s="440">
        <f t="shared" si="228"/>
        <v>8.0974549036704771E-2</v>
      </c>
      <c r="BH97" s="444">
        <f t="shared" si="228"/>
        <v>7.9194030425566775E-2</v>
      </c>
      <c r="BI97" s="441">
        <f t="shared" si="228"/>
        <v>8.9008792961692021E-2</v>
      </c>
      <c r="BJ97" s="343">
        <v>65</v>
      </c>
      <c r="BK97" s="440">
        <f t="shared" ref="BK97:CC97" si="229">IF((BK32-BK28)=0,"",BK88/(BK32-BK28))</f>
        <v>8.2706113366411635E-2</v>
      </c>
      <c r="BL97" s="440">
        <f t="shared" si="229"/>
        <v>8.2706113366411621E-2</v>
      </c>
      <c r="BM97" s="440">
        <f t="shared" si="229"/>
        <v>9.3265757193233448E-2</v>
      </c>
      <c r="BN97" s="440">
        <f t="shared" si="229"/>
        <v>9.3265757193233434E-2</v>
      </c>
      <c r="BO97" s="440">
        <f t="shared" si="229"/>
        <v>9.173847845070715E-2</v>
      </c>
      <c r="BP97" s="440">
        <f t="shared" si="229"/>
        <v>9.1738478450707123E-2</v>
      </c>
      <c r="BQ97" s="440">
        <f t="shared" si="229"/>
        <v>7.7160156101418062E-2</v>
      </c>
      <c r="BR97" s="440">
        <f t="shared" si="229"/>
        <v>7.7160156101418076E-2</v>
      </c>
      <c r="BS97" s="443">
        <f t="shared" si="229"/>
        <v>8.5735423403772756E-2</v>
      </c>
      <c r="BT97" s="441" t="str">
        <f t="shared" si="229"/>
        <v/>
      </c>
      <c r="BU97" s="440">
        <f t="shared" si="229"/>
        <v>6.9969603860376012E-2</v>
      </c>
      <c r="BV97" s="440" t="str">
        <f t="shared" si="229"/>
        <v/>
      </c>
      <c r="BW97" s="440">
        <f t="shared" si="229"/>
        <v>7.2836380497778699E-2</v>
      </c>
      <c r="BX97" s="440" t="str">
        <f t="shared" si="229"/>
        <v/>
      </c>
      <c r="BY97" s="440">
        <f t="shared" si="229"/>
        <v>7.6355414045078757E-2</v>
      </c>
      <c r="BZ97" s="440" t="str">
        <f t="shared" si="229"/>
        <v/>
      </c>
      <c r="CA97" s="440">
        <f t="shared" si="229"/>
        <v>8.6984344377416326E-2</v>
      </c>
      <c r="CB97" s="444">
        <f t="shared" si="229"/>
        <v>7.6408658744987298E-2</v>
      </c>
      <c r="CC97" s="441">
        <f t="shared" si="229"/>
        <v>8.3367031296183433E-2</v>
      </c>
      <c r="CD97" s="343">
        <v>65</v>
      </c>
      <c r="CE97" s="444">
        <f t="shared" ref="CE97:CS97" si="230">IF((CE32-CE28)=0,"",CE88/(CE32-CE28))</f>
        <v>8.8288553478970119E-2</v>
      </c>
      <c r="CF97" s="444">
        <f t="shared" si="230"/>
        <v>9.959400042312444E-2</v>
      </c>
      <c r="CG97" s="444">
        <f t="shared" si="230"/>
        <v>9.8146732148164051E-2</v>
      </c>
      <c r="CH97" s="444">
        <f t="shared" si="230"/>
        <v>9.8347867833282587E-2</v>
      </c>
      <c r="CI97" s="471">
        <f t="shared" si="230"/>
        <v>9.6235021020063538E-2</v>
      </c>
      <c r="CJ97" s="444">
        <f t="shared" si="230"/>
        <v>7.5408904340576122E-2</v>
      </c>
      <c r="CK97" s="444">
        <f t="shared" si="230"/>
        <v>8.027986617284924E-2</v>
      </c>
      <c r="CL97" s="444">
        <f t="shared" si="230"/>
        <v>7.9031665601354523E-2</v>
      </c>
      <c r="CM97" s="444">
        <f t="shared" si="230"/>
        <v>8.0945578983164165E-2</v>
      </c>
      <c r="CN97" s="471" t="str">
        <f t="shared" si="230"/>
        <v/>
      </c>
      <c r="CO97" s="444">
        <f t="shared" si="230"/>
        <v>8.1818224197864678E-2</v>
      </c>
      <c r="CP97" s="444">
        <f t="shared" si="230"/>
        <v>9.0938830994277881E-2</v>
      </c>
      <c r="CQ97" s="444">
        <f t="shared" si="230"/>
        <v>8.9264170155774619E-2</v>
      </c>
      <c r="CR97" s="444">
        <f t="shared" si="230"/>
        <v>9.0504352774320687E-2</v>
      </c>
      <c r="CS97" s="471">
        <f t="shared" si="230"/>
        <v>8.8104239636367238E-2</v>
      </c>
    </row>
    <row r="98" spans="1:102" s="360" customFormat="1" ht="15.75" customHeight="1" x14ac:dyDescent="0.25">
      <c r="A98" s="359"/>
      <c r="AP98" s="472"/>
    </row>
    <row r="99" spans="1:102" s="360" customFormat="1" ht="15.75" customHeight="1" x14ac:dyDescent="0.25">
      <c r="A99" s="359"/>
    </row>
    <row r="100" spans="1:102" s="360" customFormat="1" ht="15.75" customHeight="1" x14ac:dyDescent="0.25">
      <c r="C100" s="362"/>
      <c r="D100" s="362"/>
      <c r="E100" s="362"/>
      <c r="F100" s="362"/>
      <c r="G100" s="362"/>
      <c r="H100" s="362"/>
      <c r="I100" s="362"/>
      <c r="J100" s="362"/>
      <c r="L100" s="362"/>
      <c r="M100" s="362"/>
      <c r="N100" s="362"/>
      <c r="O100" s="362"/>
      <c r="P100" s="362"/>
      <c r="Q100" s="362"/>
      <c r="R100" s="362"/>
      <c r="S100" s="362"/>
      <c r="W100" s="362"/>
      <c r="X100" s="362"/>
      <c r="Y100" s="362"/>
      <c r="Z100" s="362"/>
      <c r="AA100" s="362"/>
      <c r="AB100" s="362"/>
      <c r="AC100" s="362"/>
      <c r="AD100" s="362"/>
      <c r="AF100" s="362"/>
      <c r="AG100" s="362"/>
      <c r="AH100" s="362"/>
      <c r="AI100" s="362"/>
      <c r="AJ100" s="362"/>
      <c r="AK100" s="362"/>
      <c r="AL100" s="362"/>
      <c r="AM100" s="362"/>
      <c r="AQ100" s="362"/>
      <c r="AR100" s="362"/>
      <c r="AS100" s="362"/>
      <c r="AT100" s="362"/>
      <c r="AU100" s="362"/>
      <c r="AV100" s="362"/>
      <c r="AW100" s="362"/>
      <c r="AX100" s="362"/>
      <c r="AZ100" s="362"/>
      <c r="BA100" s="362"/>
      <c r="BB100" s="362"/>
      <c r="BC100" s="362"/>
      <c r="BD100" s="362"/>
      <c r="BE100" s="362"/>
      <c r="BF100" s="362"/>
      <c r="BG100" s="362"/>
      <c r="BK100" s="362"/>
      <c r="BL100" s="362"/>
      <c r="BM100" s="362"/>
      <c r="BN100" s="362"/>
      <c r="BO100" s="362"/>
      <c r="BP100" s="362"/>
      <c r="BQ100" s="362"/>
      <c r="BR100" s="362"/>
      <c r="BT100" s="362"/>
      <c r="BU100" s="362"/>
      <c r="BV100" s="362"/>
      <c r="BW100" s="362"/>
      <c r="BX100" s="362"/>
      <c r="BY100" s="362"/>
      <c r="BZ100" s="362"/>
      <c r="CA100" s="362"/>
      <c r="CT100" s="362"/>
      <c r="CU100" s="362"/>
      <c r="CV100" s="362"/>
      <c r="CW100" s="362"/>
      <c r="CX100" s="362"/>
    </row>
    <row r="101" spans="1:102" s="360" customFormat="1" ht="15.75" customHeight="1" x14ac:dyDescent="0.25">
      <c r="C101" s="362"/>
      <c r="D101" s="362"/>
      <c r="F101" s="362"/>
      <c r="H101" s="362"/>
      <c r="J101" s="362"/>
      <c r="L101" s="362"/>
      <c r="M101" s="362"/>
      <c r="O101" s="362"/>
      <c r="Q101" s="362"/>
      <c r="S101" s="362"/>
      <c r="W101" s="362"/>
      <c r="X101" s="362"/>
      <c r="Z101" s="362"/>
      <c r="AB101" s="362"/>
      <c r="AD101" s="362"/>
      <c r="AF101" s="362"/>
      <c r="AG101" s="362"/>
      <c r="AI101" s="362"/>
      <c r="AK101" s="362"/>
      <c r="AM101" s="362"/>
      <c r="AQ101" s="362"/>
      <c r="AR101" s="362"/>
      <c r="AT101" s="362"/>
      <c r="AV101" s="362"/>
      <c r="AX101" s="362"/>
      <c r="AZ101" s="362"/>
      <c r="BA101" s="362"/>
      <c r="BC101" s="362"/>
      <c r="BE101" s="362"/>
      <c r="BG101" s="362"/>
      <c r="BK101" s="362"/>
      <c r="BL101" s="362"/>
      <c r="BN101" s="362"/>
      <c r="BP101" s="362"/>
      <c r="BR101" s="362"/>
      <c r="BT101" s="362"/>
      <c r="BU101" s="362"/>
      <c r="BW101" s="362"/>
      <c r="BY101" s="362"/>
      <c r="CA101" s="362"/>
      <c r="CT101" s="362"/>
      <c r="CV101" s="362"/>
      <c r="CX101" s="362"/>
    </row>
    <row r="102" spans="1:102" s="360" customFormat="1" ht="15.75" customHeight="1" x14ac:dyDescent="0.25"/>
    <row r="103" spans="1:102" s="360" customFormat="1" x14ac:dyDescent="0.25">
      <c r="C103" s="362"/>
      <c r="D103" s="362"/>
      <c r="E103" s="362"/>
      <c r="F103" s="362"/>
      <c r="G103" s="362"/>
      <c r="H103" s="362"/>
      <c r="I103" s="362"/>
      <c r="J103" s="362"/>
      <c r="L103" s="362"/>
      <c r="M103" s="362"/>
      <c r="N103" s="362"/>
      <c r="O103" s="362"/>
      <c r="P103" s="362"/>
      <c r="Q103" s="362"/>
      <c r="R103" s="362"/>
      <c r="S103" s="362"/>
      <c r="W103" s="362"/>
      <c r="X103" s="362"/>
      <c r="Y103" s="362"/>
      <c r="Z103" s="362"/>
      <c r="AA103" s="362"/>
      <c r="AB103" s="362"/>
      <c r="AC103" s="362"/>
      <c r="AD103" s="362"/>
      <c r="AF103" s="362"/>
      <c r="AG103" s="362"/>
      <c r="AH103" s="362"/>
      <c r="AI103" s="362"/>
      <c r="AJ103" s="362"/>
      <c r="AK103" s="362"/>
      <c r="AL103" s="362"/>
      <c r="AM103" s="362"/>
      <c r="AQ103" s="362"/>
      <c r="AR103" s="362"/>
      <c r="AS103" s="362"/>
      <c r="AT103" s="362"/>
      <c r="AU103" s="362"/>
      <c r="AV103" s="362"/>
      <c r="AW103" s="362"/>
      <c r="AX103" s="362"/>
      <c r="AZ103" s="362"/>
      <c r="BA103" s="362"/>
      <c r="BB103" s="362"/>
      <c r="BC103" s="362"/>
      <c r="BD103" s="362"/>
      <c r="BE103" s="362"/>
      <c r="BF103" s="362"/>
      <c r="BG103" s="362"/>
      <c r="BK103" s="362"/>
      <c r="BL103" s="362"/>
      <c r="BM103" s="362"/>
      <c r="BN103" s="362"/>
      <c r="BO103" s="362"/>
      <c r="BP103" s="362"/>
      <c r="BQ103" s="362"/>
      <c r="BR103" s="362"/>
      <c r="BT103" s="362"/>
      <c r="BU103" s="362"/>
      <c r="BV103" s="362"/>
      <c r="BW103" s="362"/>
      <c r="BX103" s="362"/>
      <c r="BY103" s="362"/>
      <c r="BZ103" s="362"/>
      <c r="CA103" s="362"/>
      <c r="CT103" s="362"/>
      <c r="CU103" s="362"/>
      <c r="CV103" s="362"/>
      <c r="CW103" s="362"/>
      <c r="CX103" s="362"/>
    </row>
    <row r="104" spans="1:102" s="360" customFormat="1" x14ac:dyDescent="0.25">
      <c r="C104" s="362"/>
      <c r="D104" s="362"/>
      <c r="F104" s="362"/>
      <c r="H104" s="362"/>
      <c r="J104" s="362"/>
      <c r="L104" s="362"/>
      <c r="M104" s="362"/>
      <c r="O104" s="362"/>
      <c r="Q104" s="362"/>
      <c r="S104" s="362"/>
      <c r="W104" s="362"/>
      <c r="X104" s="362"/>
      <c r="Z104" s="362"/>
      <c r="AB104" s="362"/>
      <c r="AD104" s="362"/>
      <c r="AF104" s="362"/>
      <c r="AG104" s="362"/>
      <c r="AI104" s="362"/>
      <c r="AK104" s="362"/>
      <c r="AM104" s="362"/>
      <c r="AQ104" s="362"/>
      <c r="AR104" s="362"/>
      <c r="AT104" s="362"/>
      <c r="AV104" s="362"/>
      <c r="AX104" s="362"/>
      <c r="AZ104" s="362"/>
      <c r="BA104" s="362"/>
      <c r="BC104" s="362"/>
      <c r="BE104" s="362"/>
      <c r="BG104" s="362"/>
      <c r="BK104" s="362"/>
      <c r="BL104" s="362"/>
      <c r="BN104" s="362"/>
      <c r="BP104" s="362"/>
      <c r="BR104" s="362"/>
      <c r="BT104" s="362"/>
      <c r="BU104" s="362"/>
      <c r="BW104" s="362"/>
      <c r="BY104" s="362"/>
      <c r="CA104" s="362"/>
      <c r="CT104" s="362"/>
      <c r="CV104" s="362"/>
      <c r="CX104" s="362"/>
    </row>
    <row r="105" spans="1:102" s="360" customFormat="1" x14ac:dyDescent="0.25"/>
    <row r="106" spans="1:102" s="360" customFormat="1" x14ac:dyDescent="0.25">
      <c r="CT106" s="362"/>
      <c r="CV106" s="362"/>
      <c r="CX106" s="362"/>
    </row>
    <row r="107" spans="1:102" s="360" customFormat="1" x14ac:dyDescent="0.25">
      <c r="CT107" s="362"/>
      <c r="CV107" s="362"/>
      <c r="CX107" s="362"/>
    </row>
    <row r="108" spans="1:102" s="360" customFormat="1" x14ac:dyDescent="0.25">
      <c r="CT108" s="362"/>
      <c r="CV108" s="362"/>
      <c r="CX108" s="362"/>
    </row>
    <row r="109" spans="1:102" s="360" customFormat="1" x14ac:dyDescent="0.25"/>
    <row r="110" spans="1:102" s="360" customFormat="1" x14ac:dyDescent="0.25">
      <c r="CT110" s="362"/>
      <c r="CV110" s="362"/>
      <c r="CX110" s="362"/>
    </row>
    <row r="111" spans="1:102" s="360" customFormat="1" x14ac:dyDescent="0.25"/>
    <row r="112" spans="1:102" s="360" customFormat="1" x14ac:dyDescent="0.25"/>
    <row r="113" s="360" customFormat="1" x14ac:dyDescent="0.25"/>
    <row r="114" s="360" customFormat="1" x14ac:dyDescent="0.25"/>
    <row r="115" s="360" customFormat="1" x14ac:dyDescent="0.25"/>
    <row r="116" s="360" customFormat="1" x14ac:dyDescent="0.25"/>
    <row r="117" s="360" customFormat="1" x14ac:dyDescent="0.25"/>
    <row r="118" s="360" customFormat="1" x14ac:dyDescent="0.25"/>
    <row r="119" s="360" customFormat="1" x14ac:dyDescent="0.25"/>
    <row r="120" s="360" customFormat="1" x14ac:dyDescent="0.25"/>
    <row r="121" s="360" customFormat="1" x14ac:dyDescent="0.25"/>
    <row r="122" s="360" customFormat="1" x14ac:dyDescent="0.25"/>
    <row r="123" s="360" customFormat="1" x14ac:dyDescent="0.25"/>
    <row r="124" s="360" customFormat="1" x14ac:dyDescent="0.25"/>
    <row r="125" s="360" customFormat="1" x14ac:dyDescent="0.25"/>
    <row r="126" s="360" customFormat="1" x14ac:dyDescent="0.25"/>
    <row r="127" s="360" customFormat="1" x14ac:dyDescent="0.25"/>
    <row r="128" s="360" customFormat="1" x14ac:dyDescent="0.25"/>
    <row r="129" s="360" customFormat="1" x14ac:dyDescent="0.25"/>
    <row r="130" s="360" customFormat="1" x14ac:dyDescent="0.25"/>
    <row r="131" s="360" customFormat="1" x14ac:dyDescent="0.25"/>
    <row r="132" s="360" customFormat="1" x14ac:dyDescent="0.25"/>
    <row r="133" s="360" customFormat="1" x14ac:dyDescent="0.25"/>
    <row r="134" s="360" customFormat="1" x14ac:dyDescent="0.25"/>
    <row r="135" s="360" customFormat="1" x14ac:dyDescent="0.25"/>
    <row r="136" s="360" customFormat="1" x14ac:dyDescent="0.25"/>
    <row r="137" s="360" customFormat="1" x14ac:dyDescent="0.25"/>
    <row r="138" s="360" customFormat="1" x14ac:dyDescent="0.25"/>
    <row r="139" s="360" customFormat="1" x14ac:dyDescent="0.25"/>
    <row r="140" s="360" customFormat="1" x14ac:dyDescent="0.25"/>
    <row r="141" s="360" customFormat="1" x14ac:dyDescent="0.25"/>
    <row r="142" s="360" customFormat="1" x14ac:dyDescent="0.25"/>
    <row r="143" s="360" customFormat="1" x14ac:dyDescent="0.25"/>
    <row r="144" s="360" customFormat="1" x14ac:dyDescent="0.25"/>
    <row r="145" s="360" customFormat="1" x14ac:dyDescent="0.25"/>
    <row r="146" s="360" customFormat="1" x14ac:dyDescent="0.25"/>
    <row r="147" s="360" customFormat="1" x14ac:dyDescent="0.25"/>
    <row r="148" s="360" customFormat="1" x14ac:dyDescent="0.25"/>
    <row r="149" s="360" customFormat="1" x14ac:dyDescent="0.25"/>
    <row r="150" s="360" customFormat="1" x14ac:dyDescent="0.25"/>
    <row r="151" s="360" customFormat="1" x14ac:dyDescent="0.25"/>
    <row r="152" s="360" customFormat="1" x14ac:dyDescent="0.25"/>
    <row r="153" s="360" customFormat="1" x14ac:dyDescent="0.25"/>
    <row r="154" s="360" customFormat="1" x14ac:dyDescent="0.25"/>
    <row r="155" s="360" customFormat="1" x14ac:dyDescent="0.25"/>
    <row r="156" s="360" customFormat="1" x14ac:dyDescent="0.25"/>
    <row r="157" s="360" customFormat="1" x14ac:dyDescent="0.25"/>
    <row r="158" s="360" customFormat="1" x14ac:dyDescent="0.25"/>
    <row r="159" s="360" customFormat="1" x14ac:dyDescent="0.25"/>
    <row r="160" s="360" customFormat="1" x14ac:dyDescent="0.25"/>
    <row r="161" s="360" customFormat="1" x14ac:dyDescent="0.25"/>
    <row r="162" s="360" customFormat="1" x14ac:dyDescent="0.25"/>
    <row r="163" s="360" customFormat="1" x14ac:dyDescent="0.25"/>
    <row r="164" s="360" customFormat="1" x14ac:dyDescent="0.25"/>
    <row r="165" s="360" customFormat="1" x14ac:dyDescent="0.25"/>
    <row r="166" s="360" customFormat="1" x14ac:dyDescent="0.25"/>
    <row r="167" s="360" customFormat="1" x14ac:dyDescent="0.25"/>
    <row r="168" s="360" customFormat="1" x14ac:dyDescent="0.25"/>
    <row r="169" s="360" customFormat="1" x14ac:dyDescent="0.25"/>
    <row r="170" s="360" customFormat="1" x14ac:dyDescent="0.25"/>
    <row r="171" s="360" customFormat="1" x14ac:dyDescent="0.25"/>
    <row r="172" s="360" customFormat="1" x14ac:dyDescent="0.25"/>
    <row r="173" s="360" customFormat="1" x14ac:dyDescent="0.25"/>
    <row r="174" s="360" customFormat="1" x14ac:dyDescent="0.25"/>
    <row r="175" s="360" customFormat="1" x14ac:dyDescent="0.25"/>
    <row r="176" s="360" customFormat="1" x14ac:dyDescent="0.25"/>
    <row r="177" s="360" customFormat="1" x14ac:dyDescent="0.25"/>
    <row r="178" s="360" customFormat="1" x14ac:dyDescent="0.25"/>
    <row r="179" s="360" customFormat="1" x14ac:dyDescent="0.25"/>
    <row r="180" s="360" customFormat="1" x14ac:dyDescent="0.25"/>
    <row r="181" s="360" customFormat="1" x14ac:dyDescent="0.25"/>
    <row r="182" s="360" customFormat="1" x14ac:dyDescent="0.25"/>
    <row r="183" s="360" customFormat="1" x14ac:dyDescent="0.25"/>
    <row r="184" s="360" customFormat="1" x14ac:dyDescent="0.25"/>
    <row r="185" s="360" customFormat="1" x14ac:dyDescent="0.25"/>
    <row r="186" s="360" customFormat="1" x14ac:dyDescent="0.25"/>
    <row r="187" s="360" customFormat="1" x14ac:dyDescent="0.25"/>
    <row r="188" s="360" customFormat="1" x14ac:dyDescent="0.25"/>
    <row r="189" s="360" customFormat="1" x14ac:dyDescent="0.25"/>
    <row r="190" s="360" customFormat="1" x14ac:dyDescent="0.25"/>
    <row r="191" s="360" customFormat="1" x14ac:dyDescent="0.25"/>
    <row r="192" s="360" customFormat="1" x14ac:dyDescent="0.25"/>
    <row r="193" s="360" customFormat="1" x14ac:dyDescent="0.25"/>
    <row r="194" s="360" customFormat="1" x14ac:dyDescent="0.25"/>
    <row r="195" s="360" customFormat="1" x14ac:dyDescent="0.25"/>
    <row r="196" s="360" customFormat="1" x14ac:dyDescent="0.25"/>
    <row r="197" s="360" customFormat="1" x14ac:dyDescent="0.25"/>
    <row r="198" s="360" customFormat="1" x14ac:dyDescent="0.25"/>
    <row r="199" s="360" customFormat="1" x14ac:dyDescent="0.25"/>
    <row r="200" s="360" customFormat="1" x14ac:dyDescent="0.25"/>
    <row r="201" s="360" customFormat="1" x14ac:dyDescent="0.25"/>
    <row r="202" s="360" customFormat="1" x14ac:dyDescent="0.25"/>
    <row r="203" s="360" customFormat="1" x14ac:dyDescent="0.25"/>
    <row r="204" s="360" customFormat="1" x14ac:dyDescent="0.25"/>
    <row r="205" s="360" customFormat="1" x14ac:dyDescent="0.25"/>
    <row r="206" s="360" customFormat="1" x14ac:dyDescent="0.25"/>
    <row r="207" s="360" customFormat="1" x14ac:dyDescent="0.25"/>
    <row r="208" s="360" customFormat="1" x14ac:dyDescent="0.25"/>
    <row r="209" s="360" customFormat="1" x14ac:dyDescent="0.25"/>
    <row r="210" s="360" customFormat="1" x14ac:dyDescent="0.25"/>
    <row r="211" s="360" customFormat="1" x14ac:dyDescent="0.25"/>
    <row r="212" s="360" customFormat="1" x14ac:dyDescent="0.25"/>
    <row r="213" s="360" customFormat="1" x14ac:dyDescent="0.25"/>
    <row r="214" s="360" customFormat="1" x14ac:dyDescent="0.25"/>
    <row r="215" s="360" customFormat="1" x14ac:dyDescent="0.25"/>
    <row r="216" s="360" customFormat="1" x14ac:dyDescent="0.25"/>
    <row r="217" s="360" customFormat="1" x14ac:dyDescent="0.25"/>
    <row r="218" s="360" customFormat="1" x14ac:dyDescent="0.25"/>
    <row r="219" s="360" customFormat="1" x14ac:dyDescent="0.25"/>
    <row r="220" s="360" customFormat="1" x14ac:dyDescent="0.25"/>
    <row r="221" s="360" customFormat="1" x14ac:dyDescent="0.25"/>
    <row r="222" s="360" customFormat="1" x14ac:dyDescent="0.25"/>
    <row r="223" s="360" customFormat="1" x14ac:dyDescent="0.25"/>
    <row r="224" s="360" customFormat="1" x14ac:dyDescent="0.25"/>
    <row r="225" s="360" customFormat="1" x14ac:dyDescent="0.25"/>
    <row r="226" s="360" customFormat="1" x14ac:dyDescent="0.25"/>
    <row r="227" s="360" customFormat="1" x14ac:dyDescent="0.25"/>
    <row r="228" s="360" customFormat="1" x14ac:dyDescent="0.25"/>
    <row r="229" s="360" customFormat="1" x14ac:dyDescent="0.25"/>
    <row r="230" s="360" customFormat="1" x14ac:dyDescent="0.25"/>
    <row r="231" s="360" customFormat="1" x14ac:dyDescent="0.25"/>
    <row r="232" s="360" customFormat="1" x14ac:dyDescent="0.25"/>
    <row r="233" s="360" customFormat="1" x14ac:dyDescent="0.25"/>
    <row r="234" s="360" customFormat="1" x14ac:dyDescent="0.25"/>
    <row r="235" s="360" customFormat="1" x14ac:dyDescent="0.25"/>
    <row r="236" s="360" customFormat="1" x14ac:dyDescent="0.25"/>
    <row r="237" s="360" customFormat="1" x14ac:dyDescent="0.25"/>
    <row r="238" s="360" customFormat="1" x14ac:dyDescent="0.25"/>
    <row r="239" s="360" customFormat="1" x14ac:dyDescent="0.25"/>
    <row r="240" s="360" customFormat="1" x14ac:dyDescent="0.25"/>
    <row r="241" s="360" customFormat="1" x14ac:dyDescent="0.25"/>
    <row r="242" s="360" customFormat="1" x14ac:dyDescent="0.25"/>
    <row r="243" s="360" customFormat="1" x14ac:dyDescent="0.25"/>
    <row r="244" s="360" customFormat="1" x14ac:dyDescent="0.25"/>
    <row r="245" s="360" customFormat="1" x14ac:dyDescent="0.25"/>
    <row r="246" s="360" customFormat="1" x14ac:dyDescent="0.25"/>
    <row r="247" s="360" customFormat="1" x14ac:dyDescent="0.25"/>
    <row r="248" s="360" customFormat="1" x14ac:dyDescent="0.25"/>
    <row r="249" s="360" customFormat="1" x14ac:dyDescent="0.25"/>
    <row r="250" s="360" customFormat="1" x14ac:dyDescent="0.25"/>
    <row r="251" s="360" customFormat="1" x14ac:dyDescent="0.25"/>
    <row r="252" s="360" customFormat="1" x14ac:dyDescent="0.25"/>
    <row r="253" s="360" customFormat="1" x14ac:dyDescent="0.25"/>
    <row r="254" s="360" customFormat="1" x14ac:dyDescent="0.25"/>
    <row r="255" s="360" customFormat="1" x14ac:dyDescent="0.25"/>
    <row r="256" s="360" customFormat="1" x14ac:dyDescent="0.25"/>
    <row r="257" s="360" customFormat="1" x14ac:dyDescent="0.25"/>
    <row r="258" s="360" customFormat="1" x14ac:dyDescent="0.25"/>
    <row r="259" s="360" customFormat="1" x14ac:dyDescent="0.25"/>
    <row r="260" s="360" customFormat="1" x14ac:dyDescent="0.25"/>
    <row r="261" s="360" customFormat="1" x14ac:dyDescent="0.25"/>
    <row r="262" s="360" customFormat="1" x14ac:dyDescent="0.25"/>
    <row r="263" s="360" customFormat="1" x14ac:dyDescent="0.25"/>
    <row r="264" s="360" customFormat="1" x14ac:dyDescent="0.25"/>
    <row r="265" s="360" customFormat="1" x14ac:dyDescent="0.25"/>
    <row r="266" s="360" customFormat="1" x14ac:dyDescent="0.25"/>
    <row r="267" s="360" customFormat="1" x14ac:dyDescent="0.25"/>
    <row r="268" s="360" customFormat="1" x14ac:dyDescent="0.25"/>
    <row r="269" s="360" customFormat="1" x14ac:dyDescent="0.25"/>
    <row r="270" s="360" customFormat="1" x14ac:dyDescent="0.25"/>
    <row r="271" s="360" customFormat="1" x14ac:dyDescent="0.25"/>
    <row r="272" s="360" customFormat="1" x14ac:dyDescent="0.25"/>
    <row r="273" s="360" customFormat="1" x14ac:dyDescent="0.25"/>
    <row r="274" s="360" customFormat="1" x14ac:dyDescent="0.25"/>
    <row r="275" s="360" customFormat="1" x14ac:dyDescent="0.25"/>
    <row r="276" s="360" customFormat="1" x14ac:dyDescent="0.25"/>
    <row r="277" s="360" customFormat="1" x14ac:dyDescent="0.25"/>
    <row r="278" s="360" customFormat="1" x14ac:dyDescent="0.25"/>
    <row r="279" s="360" customFormat="1" x14ac:dyDescent="0.25"/>
    <row r="280" s="360" customFormat="1" x14ac:dyDescent="0.25"/>
    <row r="281" s="360" customFormat="1" x14ac:dyDescent="0.25"/>
    <row r="282" s="360" customFormat="1" x14ac:dyDescent="0.25"/>
    <row r="283" s="360" customFormat="1" x14ac:dyDescent="0.25"/>
    <row r="284" s="360" customFormat="1" x14ac:dyDescent="0.25"/>
    <row r="285" s="360" customFormat="1" x14ac:dyDescent="0.25"/>
    <row r="286" s="360" customFormat="1" x14ac:dyDescent="0.25"/>
    <row r="287" s="360" customFormat="1" x14ac:dyDescent="0.25"/>
    <row r="288" s="360" customFormat="1" x14ac:dyDescent="0.25"/>
    <row r="289" s="360" customFormat="1" x14ac:dyDescent="0.25"/>
    <row r="290" s="360" customFormat="1" x14ac:dyDescent="0.25"/>
    <row r="291" s="360" customFormat="1" x14ac:dyDescent="0.25"/>
    <row r="292" s="360" customFormat="1" x14ac:dyDescent="0.25"/>
    <row r="293" s="360" customFormat="1" x14ac:dyDescent="0.25"/>
    <row r="294" s="360" customFormat="1" x14ac:dyDescent="0.25"/>
    <row r="295" s="360" customFormat="1" x14ac:dyDescent="0.25"/>
    <row r="296" s="360" customFormat="1" x14ac:dyDescent="0.25"/>
    <row r="297" s="360" customFormat="1" x14ac:dyDescent="0.25"/>
    <row r="298" s="360" customFormat="1" x14ac:dyDescent="0.25"/>
    <row r="299" s="360" customFormat="1" x14ac:dyDescent="0.25"/>
    <row r="300" s="360" customFormat="1" x14ac:dyDescent="0.25"/>
    <row r="301" s="360" customFormat="1" x14ac:dyDescent="0.25"/>
    <row r="302" s="360" customFormat="1" x14ac:dyDescent="0.25"/>
    <row r="303" s="360" customFormat="1" x14ac:dyDescent="0.25"/>
    <row r="304" s="360" customFormat="1" x14ac:dyDescent="0.25"/>
    <row r="305" s="360" customFormat="1" x14ac:dyDescent="0.25"/>
    <row r="306" s="360" customFormat="1" x14ac:dyDescent="0.25"/>
    <row r="307" s="360" customFormat="1" x14ac:dyDescent="0.25"/>
    <row r="308" s="360" customFormat="1" x14ac:dyDescent="0.25"/>
    <row r="309" s="360" customFormat="1" x14ac:dyDescent="0.25"/>
    <row r="310" s="360" customFormat="1" x14ac:dyDescent="0.25"/>
    <row r="311" s="360" customFormat="1" x14ac:dyDescent="0.25"/>
    <row r="312" s="360" customFormat="1" x14ac:dyDescent="0.25"/>
    <row r="313" s="360" customFormat="1" x14ac:dyDescent="0.25"/>
    <row r="314" s="360" customFormat="1" x14ac:dyDescent="0.25"/>
    <row r="315" s="360" customFormat="1" x14ac:dyDescent="0.25"/>
    <row r="316" s="360" customFormat="1" x14ac:dyDescent="0.25"/>
    <row r="317" s="360" customFormat="1" x14ac:dyDescent="0.25"/>
    <row r="318" s="360" customFormat="1" x14ac:dyDescent="0.25"/>
    <row r="319" s="360" customFormat="1" x14ac:dyDescent="0.25"/>
    <row r="320" s="360" customFormat="1" x14ac:dyDescent="0.25"/>
    <row r="321" s="360" customFormat="1" x14ac:dyDescent="0.25"/>
    <row r="322" s="360" customFormat="1" x14ac:dyDescent="0.25"/>
    <row r="323" s="360" customFormat="1" x14ac:dyDescent="0.25"/>
    <row r="324" s="360" customFormat="1" x14ac:dyDescent="0.25"/>
    <row r="325" s="360" customFormat="1" x14ac:dyDescent="0.25"/>
    <row r="326" s="360" customFormat="1" x14ac:dyDescent="0.25"/>
    <row r="327" s="360" customFormat="1" x14ac:dyDescent="0.25"/>
    <row r="328" s="360" customFormat="1" x14ac:dyDescent="0.25"/>
    <row r="329" s="360" customFormat="1" x14ac:dyDescent="0.25"/>
    <row r="330" s="360" customFormat="1" x14ac:dyDescent="0.25"/>
    <row r="331" s="360" customFormat="1" x14ac:dyDescent="0.25"/>
    <row r="332" s="360" customFormat="1" x14ac:dyDescent="0.25"/>
    <row r="333" s="360" customFormat="1" x14ac:dyDescent="0.25"/>
    <row r="334" s="360" customFormat="1" x14ac:dyDescent="0.25"/>
    <row r="335" s="360" customFormat="1" x14ac:dyDescent="0.25"/>
    <row r="336" s="360" customFormat="1" x14ac:dyDescent="0.25"/>
    <row r="337" s="360" customFormat="1" x14ac:dyDescent="0.25"/>
    <row r="338" s="360" customFormat="1" x14ac:dyDescent="0.25"/>
    <row r="339" s="360" customFormat="1" x14ac:dyDescent="0.25"/>
    <row r="340" s="360" customFormat="1" x14ac:dyDescent="0.25"/>
    <row r="341" s="360" customFormat="1" x14ac:dyDescent="0.25"/>
    <row r="342" s="360" customFormat="1" x14ac:dyDescent="0.25"/>
  </sheetData>
  <sheetProtection formatColumns="0"/>
  <mergeCells count="13">
    <mergeCell ref="CI10:CI13"/>
    <mergeCell ref="CN10:CN13"/>
    <mergeCell ref="CS10:CS13"/>
    <mergeCell ref="U11:U13"/>
    <mergeCell ref="AO11:AO13"/>
    <mergeCell ref="BI11:BI13"/>
    <mergeCell ref="CC11:CC13"/>
    <mergeCell ref="CD10:CD13"/>
    <mergeCell ref="G1:I1"/>
    <mergeCell ref="B10:B13"/>
    <mergeCell ref="V10:V13"/>
    <mergeCell ref="AP10:AP13"/>
    <mergeCell ref="BJ10:BJ13"/>
  </mergeCells>
  <pageMargins left="0.25" right="0.25" top="0.5" bottom="0.75" header="0.3" footer="0.3"/>
  <pageSetup paperSize="9" scale="59"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56"/>
  </sheetPr>
  <dimension ref="A1:D31"/>
  <sheetViews>
    <sheetView topLeftCell="A19" zoomScale="70" zoomScaleNormal="70" workbookViewId="0">
      <selection activeCell="H17" sqref="H17"/>
    </sheetView>
  </sheetViews>
  <sheetFormatPr defaultColWidth="9.44140625" defaultRowHeight="13.2" x14ac:dyDescent="0.25"/>
  <cols>
    <col min="1" max="1" width="25" style="600" bestFit="1" customWidth="1"/>
    <col min="2" max="2" width="65.5546875" style="600" bestFit="1" customWidth="1"/>
    <col min="3" max="3" width="28.44140625" style="600" customWidth="1"/>
    <col min="4" max="4" width="73" style="600" customWidth="1"/>
    <col min="5" max="16384" width="9.44140625" style="600"/>
  </cols>
  <sheetData>
    <row r="1" spans="1:4" ht="15.6" x14ac:dyDescent="0.3">
      <c r="A1" s="597" t="s">
        <v>546</v>
      </c>
      <c r="B1" s="598"/>
      <c r="C1" s="599"/>
      <c r="D1" s="599"/>
    </row>
    <row r="2" spans="1:4" x14ac:dyDescent="0.25">
      <c r="A2" s="256" t="s">
        <v>26</v>
      </c>
      <c r="B2" s="445" t="str">
        <f>'Schedule 2_Balance Sheet'!C2</f>
        <v>Tufts Associated Health Plans, Inc. (TAHMO)</v>
      </c>
      <c r="C2" s="447"/>
      <c r="D2" s="599"/>
    </row>
    <row r="3" spans="1:4" x14ac:dyDescent="0.25">
      <c r="A3" s="256" t="s">
        <v>0</v>
      </c>
      <c r="B3" s="580" t="str">
        <f>'Schedule 2_Balance Sheet'!C3</f>
        <v>01/01/2024 - 12/31/2024</v>
      </c>
      <c r="C3" s="582"/>
      <c r="D3" s="599"/>
    </row>
    <row r="4" spans="1:4" x14ac:dyDescent="0.25">
      <c r="A4" s="256" t="s">
        <v>27</v>
      </c>
      <c r="B4" s="449">
        <f>'Schedule 2_Balance Sheet'!C4</f>
        <v>45657</v>
      </c>
      <c r="C4" s="447"/>
      <c r="D4" s="599"/>
    </row>
    <row r="5" spans="1:4" x14ac:dyDescent="0.25">
      <c r="A5" s="256" t="s">
        <v>28</v>
      </c>
      <c r="B5" s="445" t="str">
        <f>'Schedule 2_Balance Sheet'!C5</f>
        <v>Roshni Parikh</v>
      </c>
      <c r="C5" s="447"/>
      <c r="D5" s="599"/>
    </row>
    <row r="6" spans="1:4" x14ac:dyDescent="0.25">
      <c r="A6" s="256" t="s">
        <v>29</v>
      </c>
      <c r="B6" s="449">
        <f>'Schedule 2_Balance Sheet'!C6</f>
        <v>45657</v>
      </c>
      <c r="C6" s="447"/>
      <c r="D6" s="599"/>
    </row>
    <row r="7" spans="1:4" ht="15.6" x14ac:dyDescent="0.3">
      <c r="A7" s="597"/>
      <c r="B7" s="601"/>
      <c r="C7" s="601"/>
      <c r="D7" s="599"/>
    </row>
    <row r="8" spans="1:4" ht="38.1" customHeight="1" x14ac:dyDescent="0.25">
      <c r="A8" s="708" t="s">
        <v>269</v>
      </c>
      <c r="B8" s="708" t="s">
        <v>602</v>
      </c>
      <c r="C8" s="709" t="s">
        <v>603</v>
      </c>
      <c r="D8" s="708" t="s">
        <v>604</v>
      </c>
    </row>
    <row r="9" spans="1:4" ht="72.75" customHeight="1" x14ac:dyDescent="0.25">
      <c r="A9" s="602">
        <v>1</v>
      </c>
      <c r="B9" s="603" t="s">
        <v>548</v>
      </c>
      <c r="C9" s="363"/>
      <c r="D9" s="811" t="s">
        <v>1556</v>
      </c>
    </row>
    <row r="10" spans="1:4" ht="60.75" customHeight="1" x14ac:dyDescent="0.25">
      <c r="A10" s="602">
        <v>2</v>
      </c>
      <c r="B10" s="603" t="s">
        <v>550</v>
      </c>
      <c r="C10" s="363"/>
      <c r="D10" s="811" t="s">
        <v>1557</v>
      </c>
    </row>
    <row r="11" spans="1:4" ht="60.75" customHeight="1" x14ac:dyDescent="0.25">
      <c r="A11" s="602">
        <v>3</v>
      </c>
      <c r="B11" s="604" t="s">
        <v>553</v>
      </c>
      <c r="C11" s="363"/>
      <c r="D11" s="811" t="s">
        <v>1557</v>
      </c>
    </row>
    <row r="12" spans="1:4" ht="60.75" customHeight="1" x14ac:dyDescent="0.25">
      <c r="A12" s="602">
        <v>4</v>
      </c>
      <c r="B12" s="603" t="s">
        <v>555</v>
      </c>
      <c r="C12" s="363"/>
      <c r="D12" s="363" t="s">
        <v>69</v>
      </c>
    </row>
    <row r="13" spans="1:4" ht="60.75" customHeight="1" x14ac:dyDescent="0.25">
      <c r="A13" s="602">
        <v>5</v>
      </c>
      <c r="B13" s="603" t="s">
        <v>558</v>
      </c>
      <c r="C13" s="363"/>
      <c r="D13" s="811" t="s">
        <v>1558</v>
      </c>
    </row>
    <row r="14" spans="1:4" ht="66" x14ac:dyDescent="0.25">
      <c r="A14" s="602">
        <v>6</v>
      </c>
      <c r="B14" s="604" t="s">
        <v>1336</v>
      </c>
      <c r="C14" s="363"/>
      <c r="D14" s="363" t="s">
        <v>69</v>
      </c>
    </row>
    <row r="15" spans="1:4" ht="60.75" customHeight="1" x14ac:dyDescent="0.25">
      <c r="A15" s="602">
        <v>7</v>
      </c>
      <c r="B15" s="603" t="s">
        <v>563</v>
      </c>
      <c r="C15" s="363"/>
      <c r="D15" s="363" t="s">
        <v>1559</v>
      </c>
    </row>
    <row r="16" spans="1:4" ht="60.75" customHeight="1" x14ac:dyDescent="0.25">
      <c r="A16" s="602">
        <v>8</v>
      </c>
      <c r="B16" s="603" t="s">
        <v>566</v>
      </c>
      <c r="C16" s="363"/>
      <c r="D16" s="363" t="s">
        <v>69</v>
      </c>
    </row>
    <row r="17" spans="1:4" ht="60.75" customHeight="1" x14ac:dyDescent="0.25">
      <c r="A17" s="602">
        <v>9</v>
      </c>
      <c r="B17" s="603" t="s">
        <v>569</v>
      </c>
      <c r="C17" s="363"/>
      <c r="D17" s="811" t="s">
        <v>1560</v>
      </c>
    </row>
    <row r="18" spans="1:4" ht="95.25" customHeight="1" x14ac:dyDescent="0.25">
      <c r="A18" s="602">
        <v>10</v>
      </c>
      <c r="B18" s="603" t="s">
        <v>572</v>
      </c>
      <c r="C18" s="363"/>
      <c r="D18" s="811" t="s">
        <v>1570</v>
      </c>
    </row>
    <row r="19" spans="1:4" ht="60.75" customHeight="1" x14ac:dyDescent="0.25">
      <c r="A19" s="602">
        <v>11</v>
      </c>
      <c r="B19" s="603" t="s">
        <v>575</v>
      </c>
      <c r="C19" s="363"/>
      <c r="D19" s="363" t="s">
        <v>69</v>
      </c>
    </row>
    <row r="20" spans="1:4" ht="60.75" customHeight="1" x14ac:dyDescent="0.25">
      <c r="A20" s="602">
        <v>12</v>
      </c>
      <c r="B20" s="603" t="s">
        <v>578</v>
      </c>
      <c r="C20" s="363"/>
      <c r="D20" s="363" t="s">
        <v>69</v>
      </c>
    </row>
    <row r="21" spans="1:4" ht="60.75" customHeight="1" x14ac:dyDescent="0.25">
      <c r="A21" s="602">
        <v>13</v>
      </c>
      <c r="B21" s="603" t="s">
        <v>581</v>
      </c>
      <c r="C21" s="363"/>
      <c r="D21" s="363" t="s">
        <v>69</v>
      </c>
    </row>
    <row r="22" spans="1:4" ht="60.75" customHeight="1" x14ac:dyDescent="0.25">
      <c r="A22" s="602">
        <v>14</v>
      </c>
      <c r="B22" s="603" t="s">
        <v>584</v>
      </c>
      <c r="C22" s="363"/>
      <c r="D22" s="363" t="s">
        <v>69</v>
      </c>
    </row>
    <row r="23" spans="1:4" ht="60.75" customHeight="1" x14ac:dyDescent="0.25">
      <c r="A23" s="602">
        <v>15</v>
      </c>
      <c r="B23" s="603" t="s">
        <v>1337</v>
      </c>
      <c r="C23" s="363"/>
      <c r="D23" s="363" t="s">
        <v>1561</v>
      </c>
    </row>
    <row r="24" spans="1:4" ht="60.75" customHeight="1" x14ac:dyDescent="0.25">
      <c r="A24" s="602">
        <v>16</v>
      </c>
      <c r="B24" s="603" t="s">
        <v>588</v>
      </c>
      <c r="C24" s="363"/>
      <c r="D24" s="363" t="s">
        <v>69</v>
      </c>
    </row>
    <row r="25" spans="1:4" ht="60.75" customHeight="1" x14ac:dyDescent="0.25">
      <c r="A25" s="602">
        <v>17</v>
      </c>
      <c r="B25" s="603" t="s">
        <v>590</v>
      </c>
      <c r="C25" s="363"/>
      <c r="D25" s="363" t="s">
        <v>69</v>
      </c>
    </row>
    <row r="26" spans="1:4" ht="60.75" customHeight="1" x14ac:dyDescent="0.25">
      <c r="A26" s="602">
        <v>18</v>
      </c>
      <c r="B26" s="603" t="s">
        <v>1338</v>
      </c>
      <c r="C26" s="363"/>
      <c r="D26" s="811" t="s">
        <v>1562</v>
      </c>
    </row>
    <row r="27" spans="1:4" x14ac:dyDescent="0.25">
      <c r="A27" s="605"/>
      <c r="B27" s="605"/>
      <c r="C27" s="605"/>
      <c r="D27" s="606"/>
    </row>
    <row r="28" spans="1:4" x14ac:dyDescent="0.25">
      <c r="A28" s="605"/>
      <c r="B28" s="605"/>
      <c r="C28" s="605"/>
      <c r="D28" s="606"/>
    </row>
    <row r="29" spans="1:4" x14ac:dyDescent="0.25">
      <c r="A29" s="605"/>
      <c r="B29" s="605"/>
      <c r="C29" s="605"/>
      <c r="D29" s="606"/>
    </row>
    <row r="30" spans="1:4" x14ac:dyDescent="0.25">
      <c r="A30" s="607"/>
      <c r="B30" s="605"/>
      <c r="C30" s="606"/>
      <c r="D30" s="606"/>
    </row>
    <row r="31" spans="1:4" x14ac:dyDescent="0.25">
      <c r="A31" s="608"/>
      <c r="B31" s="608"/>
      <c r="C31" s="605"/>
      <c r="D31" s="606"/>
    </row>
  </sheetData>
  <sheetProtection formatColumns="0" formatRows="0"/>
  <pageMargins left="0.75" right="0.75" top="1" bottom="1" header="0.5" footer="0.5"/>
  <pageSetup scale="52" orientation="portrait" r:id="rId1"/>
  <headerFooter alignWithMargins="0">
    <oddFooter>&amp;CPage &amp;P of &amp;N&amp;R&amp;D</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W190"/>
  <sheetViews>
    <sheetView topLeftCell="A5" zoomScale="90" zoomScaleNormal="90" workbookViewId="0">
      <selection activeCell="P50" sqref="P50"/>
    </sheetView>
  </sheetViews>
  <sheetFormatPr defaultColWidth="9.44140625" defaultRowHeight="13.2" x14ac:dyDescent="0.25"/>
  <cols>
    <col min="1" max="1" width="53" style="205" customWidth="1"/>
    <col min="2" max="5" width="14.5546875" style="205" customWidth="1"/>
    <col min="6" max="6" width="5.44140625" style="365" customWidth="1"/>
    <col min="7" max="7" width="9.44140625" style="365"/>
    <col min="8" max="8" width="15.77734375" style="817" bestFit="1" customWidth="1"/>
    <col min="9" max="9" width="13.77734375" style="817" bestFit="1" customWidth="1"/>
    <col min="10" max="23" width="9.44140625" style="365"/>
    <col min="24" max="16384" width="9.44140625" style="205"/>
  </cols>
  <sheetData>
    <row r="1" spans="1:23" s="199" customFormat="1" ht="21" customHeight="1" x14ac:dyDescent="0.3">
      <c r="A1" s="20" t="s">
        <v>1342</v>
      </c>
      <c r="D1" s="875"/>
      <c r="E1" s="875"/>
      <c r="F1" s="364"/>
      <c r="G1" s="200"/>
      <c r="H1" s="818"/>
      <c r="I1" s="818"/>
      <c r="J1" s="200"/>
      <c r="K1" s="200"/>
      <c r="L1" s="200"/>
      <c r="M1" s="200"/>
      <c r="N1" s="200"/>
      <c r="O1" s="200"/>
      <c r="P1" s="200"/>
      <c r="Q1" s="200"/>
      <c r="R1" s="200"/>
      <c r="S1" s="200"/>
      <c r="T1" s="200"/>
      <c r="U1" s="200"/>
      <c r="V1" s="200"/>
      <c r="W1" s="200"/>
    </row>
    <row r="2" spans="1:23" s="199" customFormat="1" ht="21" customHeight="1" x14ac:dyDescent="0.25">
      <c r="A2" s="18" t="s">
        <v>26</v>
      </c>
      <c r="B2" s="445" t="str">
        <f>'Schedule 2_Balance Sheet'!C2</f>
        <v>Tufts Associated Health Plans, Inc. (TAHMO)</v>
      </c>
      <c r="C2" s="446"/>
      <c r="D2" s="446"/>
      <c r="E2" s="446"/>
      <c r="F2" s="447"/>
      <c r="G2" s="200"/>
      <c r="H2" s="818"/>
      <c r="I2" s="818"/>
      <c r="J2" s="200"/>
      <c r="K2" s="200"/>
      <c r="L2" s="200"/>
      <c r="M2" s="200"/>
      <c r="N2" s="200"/>
      <c r="O2" s="200"/>
      <c r="P2" s="200"/>
      <c r="Q2" s="200"/>
      <c r="R2" s="200"/>
      <c r="S2" s="200"/>
      <c r="T2" s="200"/>
      <c r="U2" s="200"/>
      <c r="V2" s="200"/>
      <c r="W2" s="200"/>
    </row>
    <row r="3" spans="1:23" s="199" customFormat="1" ht="21" customHeight="1" x14ac:dyDescent="0.25">
      <c r="A3" s="18" t="s">
        <v>0</v>
      </c>
      <c r="B3" s="580" t="str">
        <f>'Schedule 2_Balance Sheet'!C3</f>
        <v>01/01/2024 - 12/31/2024</v>
      </c>
      <c r="C3" s="581"/>
      <c r="D3" s="581"/>
      <c r="E3" s="581"/>
      <c r="F3" s="582"/>
      <c r="G3" s="200"/>
      <c r="H3" s="818"/>
      <c r="I3" s="818"/>
      <c r="J3" s="200"/>
      <c r="K3" s="200"/>
      <c r="L3" s="200"/>
      <c r="M3" s="200"/>
      <c r="N3" s="200"/>
      <c r="O3" s="200"/>
      <c r="P3" s="200"/>
      <c r="Q3" s="200"/>
      <c r="R3" s="200"/>
      <c r="S3" s="200"/>
      <c r="T3" s="200"/>
      <c r="U3" s="200"/>
      <c r="V3" s="200"/>
      <c r="W3" s="200"/>
    </row>
    <row r="4" spans="1:23" s="199" customFormat="1" ht="21" customHeight="1" x14ac:dyDescent="0.25">
      <c r="A4" s="18" t="s">
        <v>27</v>
      </c>
      <c r="B4" s="449">
        <f>'Schedule 2_Balance Sheet'!C4</f>
        <v>45657</v>
      </c>
      <c r="C4" s="446"/>
      <c r="D4" s="446"/>
      <c r="E4" s="446"/>
      <c r="F4" s="447"/>
      <c r="G4" s="200"/>
      <c r="H4" s="818"/>
      <c r="I4" s="818"/>
      <c r="J4" s="200"/>
      <c r="K4" s="200"/>
      <c r="L4" s="200"/>
      <c r="M4" s="200"/>
      <c r="N4" s="200"/>
      <c r="O4" s="200"/>
      <c r="P4" s="200"/>
      <c r="Q4" s="200"/>
      <c r="R4" s="200"/>
      <c r="S4" s="200"/>
      <c r="T4" s="200"/>
      <c r="U4" s="200"/>
      <c r="V4" s="200"/>
      <c r="W4" s="200"/>
    </row>
    <row r="5" spans="1:23" s="199" customFormat="1" ht="21" customHeight="1" x14ac:dyDescent="0.25">
      <c r="A5" s="18" t="s">
        <v>28</v>
      </c>
      <c r="B5" s="445" t="str">
        <f>'Schedule 2_Balance Sheet'!C5</f>
        <v>Roshni Parikh</v>
      </c>
      <c r="C5" s="446"/>
      <c r="D5" s="446"/>
      <c r="E5" s="446"/>
      <c r="F5" s="447"/>
      <c r="G5" s="200"/>
      <c r="H5" s="818"/>
      <c r="I5" s="818"/>
      <c r="J5" s="200"/>
      <c r="K5" s="200"/>
      <c r="L5" s="200"/>
      <c r="M5" s="200"/>
      <c r="N5" s="200"/>
      <c r="O5" s="200"/>
      <c r="P5" s="200"/>
      <c r="Q5" s="200"/>
      <c r="R5" s="200"/>
      <c r="S5" s="200"/>
      <c r="T5" s="200"/>
      <c r="U5" s="200"/>
      <c r="V5" s="200"/>
      <c r="W5" s="200"/>
    </row>
    <row r="6" spans="1:23" s="199" customFormat="1" ht="21" customHeight="1" x14ac:dyDescent="0.25">
      <c r="A6" s="18" t="s">
        <v>29</v>
      </c>
      <c r="B6" s="449">
        <f>'Schedule 2_Balance Sheet'!C6</f>
        <v>45657</v>
      </c>
      <c r="C6" s="446"/>
      <c r="D6" s="446"/>
      <c r="E6" s="446"/>
      <c r="F6" s="447"/>
      <c r="G6" s="200"/>
      <c r="H6" s="818"/>
      <c r="I6" s="818"/>
      <c r="J6" s="200"/>
      <c r="K6" s="200"/>
      <c r="L6" s="200"/>
      <c r="M6" s="200"/>
      <c r="N6" s="200"/>
      <c r="O6" s="200"/>
      <c r="P6" s="200"/>
      <c r="Q6" s="200"/>
      <c r="R6" s="200"/>
      <c r="S6" s="200"/>
      <c r="T6" s="200"/>
      <c r="U6" s="200"/>
      <c r="V6" s="200"/>
      <c r="W6" s="200"/>
    </row>
    <row r="7" spans="1:23" x14ac:dyDescent="0.25">
      <c r="A7" s="256" t="s">
        <v>544</v>
      </c>
      <c r="B7" s="149"/>
      <c r="C7" s="149"/>
      <c r="D7" s="149"/>
      <c r="E7" s="149"/>
    </row>
    <row r="8" spans="1:23" x14ac:dyDescent="0.25">
      <c r="A8" s="29"/>
      <c r="B8" s="79"/>
      <c r="C8" s="79"/>
      <c r="D8" s="79"/>
      <c r="E8" s="79"/>
    </row>
    <row r="9" spans="1:23" x14ac:dyDescent="0.25">
      <c r="A9" s="149"/>
      <c r="B9" s="80" t="s">
        <v>126</v>
      </c>
      <c r="C9" s="80" t="s">
        <v>127</v>
      </c>
      <c r="D9" s="80" t="s">
        <v>128</v>
      </c>
      <c r="E9" s="80" t="s">
        <v>129</v>
      </c>
    </row>
    <row r="10" spans="1:23" x14ac:dyDescent="0.25">
      <c r="A10" s="148" t="s">
        <v>50</v>
      </c>
      <c r="B10" s="363">
        <f>'Schedule 3A_Income Statement'!CO92</f>
        <v>8949361.9420613945</v>
      </c>
      <c r="C10" s="363">
        <f>'Schedule 3A_Income Statement'!CP92</f>
        <v>-5381145.2233576179</v>
      </c>
      <c r="D10" s="363">
        <f>'Schedule 3A_Income Statement'!CQ92</f>
        <v>-2982761.2845904529</v>
      </c>
      <c r="E10" s="363">
        <f>'Schedule 3A_Income Statement'!CR92</f>
        <v>-3441861.952083528</v>
      </c>
    </row>
    <row r="11" spans="1:23" x14ac:dyDescent="0.25">
      <c r="A11" s="148" t="s">
        <v>153</v>
      </c>
      <c r="B11" s="363"/>
      <c r="C11" s="363"/>
      <c r="D11" s="363"/>
      <c r="E11" s="363"/>
    </row>
    <row r="12" spans="1:23" x14ac:dyDescent="0.25">
      <c r="A12" s="149"/>
      <c r="B12" s="207" t="s">
        <v>32</v>
      </c>
      <c r="C12" s="207" t="s">
        <v>32</v>
      </c>
      <c r="D12" s="207" t="s">
        <v>32</v>
      </c>
      <c r="E12" s="207" t="s">
        <v>32</v>
      </c>
    </row>
    <row r="13" spans="1:23" x14ac:dyDescent="0.25">
      <c r="A13" s="148" t="s">
        <v>51</v>
      </c>
      <c r="B13" s="206">
        <f>+B10+B11</f>
        <v>8949361.9420613945</v>
      </c>
      <c r="C13" s="206">
        <f>+C10+C11</f>
        <v>-5381145.2233576179</v>
      </c>
      <c r="D13" s="206">
        <f>+D10+D11</f>
        <v>-2982761.2845904529</v>
      </c>
      <c r="E13" s="206">
        <f>+E10+E11</f>
        <v>-3441861.952083528</v>
      </c>
    </row>
    <row r="14" spans="1:23" x14ac:dyDescent="0.25">
      <c r="A14" s="149"/>
      <c r="B14" s="203" t="s">
        <v>32</v>
      </c>
      <c r="C14" s="203" t="s">
        <v>32</v>
      </c>
      <c r="D14" s="203" t="s">
        <v>32</v>
      </c>
      <c r="E14" s="203" t="s">
        <v>32</v>
      </c>
    </row>
    <row r="15" spans="1:23" x14ac:dyDescent="0.25">
      <c r="A15" s="148" t="s">
        <v>52</v>
      </c>
      <c r="B15" s="207"/>
      <c r="C15" s="207"/>
      <c r="D15" s="207"/>
      <c r="E15" s="207"/>
    </row>
    <row r="16" spans="1:23" x14ac:dyDescent="0.25">
      <c r="A16" s="208" t="s">
        <v>53</v>
      </c>
      <c r="B16" s="363"/>
      <c r="C16" s="363"/>
      <c r="D16" s="363"/>
      <c r="E16" s="363"/>
    </row>
    <row r="17" spans="1:5" x14ac:dyDescent="0.25">
      <c r="A17" s="208" t="s">
        <v>154</v>
      </c>
      <c r="B17" s="363">
        <f>-'Schedule 2_Balance Sheet'!C13+16840726</f>
        <v>-960007.21000000089</v>
      </c>
      <c r="C17" s="363">
        <f>-'Schedule 2_Balance Sheet'!D13+'Schedule 2_Balance Sheet'!C13</f>
        <v>11167246</v>
      </c>
      <c r="D17" s="363">
        <f>-'Schedule 2_Balance Sheet'!E13+'Schedule 2_Balance Sheet'!D13</f>
        <v>-123162.65999999922</v>
      </c>
      <c r="E17" s="363">
        <f>-'Schedule 2_Balance Sheet'!F13+'Schedule 2_Balance Sheet'!E13</f>
        <v>2062461.9900000012</v>
      </c>
    </row>
    <row r="18" spans="1:5" x14ac:dyDescent="0.25">
      <c r="A18" s="208" t="s">
        <v>54</v>
      </c>
      <c r="B18" s="363">
        <f>-'Schedule 2_Balance Sheet'!C16</f>
        <v>0</v>
      </c>
      <c r="C18" s="363">
        <f>-'Schedule 2_Balance Sheet'!D16</f>
        <v>0</v>
      </c>
      <c r="D18" s="363">
        <f>-'Schedule 2_Balance Sheet'!E16</f>
        <v>0</v>
      </c>
      <c r="E18" s="363">
        <f>-'Schedule 2_Balance Sheet'!F16</f>
        <v>0</v>
      </c>
    </row>
    <row r="19" spans="1:5" x14ac:dyDescent="0.25">
      <c r="A19" s="208" t="s">
        <v>155</v>
      </c>
      <c r="B19" s="363">
        <f>-'Schedule 2_Balance Sheet'!C17-'Schedule 2_Balance Sheet'!C18-'Schedule 2_Balance Sheet'!C19-'Schedule 2_Balance Sheet'!C20+8202775+965528</f>
        <v>-18534524.25</v>
      </c>
      <c r="C19" s="363">
        <f>-SUM('Schedule 2_Balance Sheet'!D17:D20)+SUM('Schedule 2_Balance Sheet'!C17:C20)</f>
        <v>12395665.32</v>
      </c>
      <c r="D19" s="363">
        <f>-SUM('Schedule 2_Balance Sheet'!E17:E20)+SUM('Schedule 2_Balance Sheet'!D17:D20)+3000000</f>
        <v>-2716584.1120133325</v>
      </c>
      <c r="E19" s="363">
        <f>-SUM('Schedule 2_Balance Sheet'!F17:F20)+SUM('Schedule 2_Balance Sheet'!E17:E20)+3500000</f>
        <v>8719089.8420133311</v>
      </c>
    </row>
    <row r="20" spans="1:5" x14ac:dyDescent="0.25">
      <c r="A20" s="208" t="s">
        <v>55</v>
      </c>
      <c r="B20" s="363"/>
      <c r="C20" s="363"/>
      <c r="D20" s="363"/>
      <c r="E20" s="363"/>
    </row>
    <row r="21" spans="1:5" x14ac:dyDescent="0.25">
      <c r="A21" s="208" t="s">
        <v>56</v>
      </c>
      <c r="B21" s="363">
        <f>'Schedule 2_Balance Sheet'!C67-54904631-B22-7691052-4618492-294828-936019-957869+1094123</f>
        <v>-6860406.4599999925</v>
      </c>
      <c r="C21" s="363">
        <f>'Schedule 2_Balance Sheet'!D67-'Schedule 2_Balance Sheet'!C67-C22+11795785-6442966-55065-986383+1138578-94978</f>
        <v>17035513.769999988</v>
      </c>
      <c r="D21" s="363">
        <f>'Schedule 2_Balance Sheet'!E67-'Schedule 2_Balance Sheet'!D67-D22+11795785-9765217-2675907-762463+2156707-63763</f>
        <v>-6574473.4099999964</v>
      </c>
      <c r="E21" s="363">
        <f>'Schedule 2_Balance Sheet'!F67-'Schedule 2_Balance Sheet'!E67-E22+8822364-4329740+5403263-7247480</f>
        <v>-59717460.431076273</v>
      </c>
    </row>
    <row r="22" spans="1:5" x14ac:dyDescent="0.25">
      <c r="A22" s="208" t="s">
        <v>156</v>
      </c>
      <c r="B22" s="363">
        <f>'Schedule 2_Balance Sheet'!C60-875875</f>
        <v>0.2099999999627471</v>
      </c>
      <c r="C22" s="363">
        <f>'Schedule 2_Balance Sheet'!D60-'Schedule 2_Balance Sheet'!C60</f>
        <v>0</v>
      </c>
      <c r="D22" s="363">
        <f>'Schedule 2_Balance Sheet'!E60-'Schedule 2_Balance Sheet'!D60</f>
        <v>288666.79000000004</v>
      </c>
      <c r="E22" s="363">
        <f>'Schedule 2_Balance Sheet'!F60-'Schedule 2_Balance Sheet'!E60</f>
        <v>916753.81</v>
      </c>
    </row>
    <row r="23" spans="1:5" x14ac:dyDescent="0.25">
      <c r="A23" s="208" t="s">
        <v>157</v>
      </c>
      <c r="B23" s="363">
        <f>'Schedule 2_Balance Sheet'!C70-292207</f>
        <v>-158989.78999999166</v>
      </c>
      <c r="C23" s="363">
        <f>'Schedule 2_Balance Sheet'!D70-'Schedule 2_Balance Sheet'!C70</f>
        <v>4749.0099999904633</v>
      </c>
      <c r="D23" s="363">
        <f>'Schedule 2_Balance Sheet'!E70-'Schedule 2_Balance Sheet'!D70</f>
        <v>31981.17999997735</v>
      </c>
      <c r="E23" s="363">
        <f>'Schedule 2_Balance Sheet'!F70-'Schedule 2_Balance Sheet'!E70</f>
        <v>-13066.379999995232</v>
      </c>
    </row>
    <row r="24" spans="1:5" x14ac:dyDescent="0.25">
      <c r="A24" s="149"/>
      <c r="B24" s="207" t="s">
        <v>32</v>
      </c>
      <c r="C24" s="207" t="s">
        <v>32</v>
      </c>
      <c r="D24" s="207" t="s">
        <v>32</v>
      </c>
      <c r="E24" s="207" t="s">
        <v>32</v>
      </c>
    </row>
    <row r="25" spans="1:5" x14ac:dyDescent="0.25">
      <c r="A25" s="148" t="s">
        <v>57</v>
      </c>
      <c r="B25" s="206">
        <f>SUM(B16:B23)</f>
        <v>-26513927.499999985</v>
      </c>
      <c r="C25" s="206">
        <f>SUM(C16:C23)</f>
        <v>40603174.099999979</v>
      </c>
      <c r="D25" s="206">
        <f>SUM(D16:D23)</f>
        <v>-9093572.2120133527</v>
      </c>
      <c r="E25" s="206">
        <f>SUM(E16:E23)</f>
        <v>-48032221.169062935</v>
      </c>
    </row>
    <row r="26" spans="1:5" x14ac:dyDescent="0.25">
      <c r="A26" s="149"/>
      <c r="B26" s="207" t="s">
        <v>32</v>
      </c>
      <c r="C26" s="207" t="s">
        <v>32</v>
      </c>
      <c r="D26" s="207" t="s">
        <v>32</v>
      </c>
      <c r="E26" s="207" t="s">
        <v>32</v>
      </c>
    </row>
    <row r="27" spans="1:5" x14ac:dyDescent="0.25">
      <c r="A27" s="148" t="s">
        <v>58</v>
      </c>
      <c r="B27" s="206">
        <f>+B25+B13</f>
        <v>-17564565.557938591</v>
      </c>
      <c r="C27" s="206">
        <f>+C25+C13</f>
        <v>35222028.876642361</v>
      </c>
      <c r="D27" s="206">
        <f>+D25+D13</f>
        <v>-12076333.496603806</v>
      </c>
      <c r="E27" s="206">
        <f>+E25+E13</f>
        <v>-51474083.121146463</v>
      </c>
    </row>
    <row r="28" spans="1:5" x14ac:dyDescent="0.25">
      <c r="A28" s="149"/>
      <c r="B28" s="207" t="s">
        <v>32</v>
      </c>
      <c r="C28" s="207" t="s">
        <v>32</v>
      </c>
      <c r="D28" s="207" t="s">
        <v>32</v>
      </c>
      <c r="E28" s="207" t="s">
        <v>32</v>
      </c>
    </row>
    <row r="29" spans="1:5" x14ac:dyDescent="0.25">
      <c r="A29" s="148" t="s">
        <v>59</v>
      </c>
      <c r="B29" s="363"/>
      <c r="C29" s="363"/>
      <c r="D29" s="363"/>
      <c r="E29" s="363"/>
    </row>
    <row r="30" spans="1:5" x14ac:dyDescent="0.25">
      <c r="A30" s="148" t="s">
        <v>158</v>
      </c>
      <c r="B30" s="363"/>
      <c r="C30" s="363"/>
      <c r="D30" s="363"/>
      <c r="E30" s="363"/>
    </row>
    <row r="31" spans="1:5" x14ac:dyDescent="0.25">
      <c r="A31" s="148" t="s">
        <v>60</v>
      </c>
      <c r="B31" s="363"/>
      <c r="C31" s="363"/>
      <c r="D31" s="363"/>
      <c r="E31" s="363"/>
    </row>
    <row r="32" spans="1:5" x14ac:dyDescent="0.25">
      <c r="A32" s="148" t="s">
        <v>424</v>
      </c>
      <c r="B32" s="363"/>
      <c r="C32" s="363"/>
      <c r="D32" s="363"/>
      <c r="E32" s="363"/>
    </row>
    <row r="33" spans="1:9" x14ac:dyDescent="0.25">
      <c r="A33" s="149"/>
      <c r="B33" s="207" t="s">
        <v>32</v>
      </c>
      <c r="C33" s="207" t="s">
        <v>32</v>
      </c>
      <c r="D33" s="207" t="s">
        <v>32</v>
      </c>
      <c r="E33" s="207" t="s">
        <v>32</v>
      </c>
    </row>
    <row r="34" spans="1:9" x14ac:dyDescent="0.25">
      <c r="A34" s="149"/>
      <c r="B34" s="198"/>
      <c r="C34" s="198"/>
      <c r="D34" s="198"/>
      <c r="E34" s="198"/>
    </row>
    <row r="35" spans="1:9" x14ac:dyDescent="0.25">
      <c r="A35" s="149"/>
      <c r="B35" s="207" t="s">
        <v>32</v>
      </c>
      <c r="C35" s="207" t="s">
        <v>32</v>
      </c>
      <c r="D35" s="207" t="s">
        <v>32</v>
      </c>
      <c r="E35" s="207" t="s">
        <v>32</v>
      </c>
    </row>
    <row r="36" spans="1:9" x14ac:dyDescent="0.25">
      <c r="A36" s="148" t="s">
        <v>61</v>
      </c>
      <c r="B36" s="206">
        <f>SUM(B27:B35)</f>
        <v>-17564565.557938591</v>
      </c>
      <c r="C36" s="206">
        <f>SUM(C27:C35)</f>
        <v>35222028.876642361</v>
      </c>
      <c r="D36" s="206">
        <f>SUM(D27:D35)</f>
        <v>-12076333.496603806</v>
      </c>
      <c r="E36" s="206">
        <f>SUM(E27:E35)</f>
        <v>-51474083.121146463</v>
      </c>
    </row>
    <row r="37" spans="1:9" x14ac:dyDescent="0.25">
      <c r="A37" s="149"/>
      <c r="B37" s="204"/>
      <c r="C37" s="204"/>
      <c r="D37" s="204"/>
      <c r="E37" s="204"/>
    </row>
    <row r="38" spans="1:9" x14ac:dyDescent="0.25">
      <c r="A38" s="149"/>
      <c r="B38" s="204"/>
      <c r="C38" s="204"/>
      <c r="D38" s="204"/>
      <c r="E38" s="204"/>
    </row>
    <row r="39" spans="1:9" x14ac:dyDescent="0.25">
      <c r="A39" s="148" t="s">
        <v>62</v>
      </c>
      <c r="B39" s="363">
        <v>108398390.94</v>
      </c>
      <c r="C39" s="206">
        <f>+B40</f>
        <v>90833825.382061407</v>
      </c>
      <c r="D39" s="206">
        <f>+C40</f>
        <v>126055854.25870377</v>
      </c>
      <c r="E39" s="206">
        <f>+D40</f>
        <v>113979520.76209997</v>
      </c>
    </row>
    <row r="40" spans="1:9" x14ac:dyDescent="0.25">
      <c r="A40" s="148" t="s">
        <v>63</v>
      </c>
      <c r="B40" s="206">
        <f>+B39+B36</f>
        <v>90833825.382061407</v>
      </c>
      <c r="C40" s="206">
        <f>+C39+C36</f>
        <v>126055854.25870377</v>
      </c>
      <c r="D40" s="206">
        <f>+D39+D36</f>
        <v>113979520.76209997</v>
      </c>
      <c r="E40" s="206">
        <f>+E39+E36</f>
        <v>62505437.640953504</v>
      </c>
    </row>
    <row r="41" spans="1:9" s="365" customFormat="1" x14ac:dyDescent="0.25">
      <c r="A41" s="366"/>
      <c r="B41" s="367"/>
      <c r="C41" s="367"/>
      <c r="D41" s="367"/>
      <c r="E41" s="367"/>
      <c r="H41" s="817"/>
      <c r="I41" s="817"/>
    </row>
    <row r="42" spans="1:9" s="365" customFormat="1" x14ac:dyDescent="0.25">
      <c r="A42" s="366"/>
      <c r="B42" s="368"/>
      <c r="C42" s="814"/>
      <c r="D42" s="814"/>
      <c r="E42" s="814"/>
      <c r="H42" s="817"/>
      <c r="I42" s="817"/>
    </row>
    <row r="43" spans="1:9" s="365" customFormat="1" x14ac:dyDescent="0.25">
      <c r="B43" s="368"/>
      <c r="C43" s="368"/>
      <c r="D43" s="368"/>
      <c r="E43" s="368"/>
      <c r="H43" s="817"/>
      <c r="I43" s="817"/>
    </row>
    <row r="44" spans="1:9" s="365" customFormat="1" x14ac:dyDescent="0.25">
      <c r="H44" s="817"/>
      <c r="I44" s="817"/>
    </row>
    <row r="45" spans="1:9" s="365" customFormat="1" x14ac:dyDescent="0.25">
      <c r="B45" s="368"/>
      <c r="C45" s="368"/>
      <c r="D45" s="368"/>
      <c r="E45" s="369"/>
      <c r="H45" s="817"/>
      <c r="I45" s="817"/>
    </row>
    <row r="46" spans="1:9" s="365" customFormat="1" x14ac:dyDescent="0.25">
      <c r="H46" s="817"/>
      <c r="I46" s="817"/>
    </row>
    <row r="47" spans="1:9" s="365" customFormat="1" x14ac:dyDescent="0.25">
      <c r="B47" s="369"/>
      <c r="D47" s="369"/>
      <c r="E47" s="369"/>
      <c r="H47" s="817"/>
      <c r="I47" s="817"/>
    </row>
    <row r="48" spans="1:9" s="365" customFormat="1" x14ac:dyDescent="0.25">
      <c r="C48" s="369"/>
      <c r="H48" s="817"/>
      <c r="I48" s="817"/>
    </row>
    <row r="49" spans="4:9" s="365" customFormat="1" x14ac:dyDescent="0.25">
      <c r="H49" s="817"/>
      <c r="I49" s="817"/>
    </row>
    <row r="50" spans="4:9" s="365" customFormat="1" x14ac:dyDescent="0.25">
      <c r="H50" s="817"/>
      <c r="I50" s="817"/>
    </row>
    <row r="51" spans="4:9" s="365" customFormat="1" x14ac:dyDescent="0.25">
      <c r="D51" s="370"/>
      <c r="H51" s="817"/>
      <c r="I51" s="817"/>
    </row>
    <row r="52" spans="4:9" s="365" customFormat="1" x14ac:dyDescent="0.25">
      <c r="H52" s="817"/>
      <c r="I52" s="817"/>
    </row>
    <row r="53" spans="4:9" s="365" customFormat="1" x14ac:dyDescent="0.25">
      <c r="H53" s="817"/>
      <c r="I53" s="817"/>
    </row>
    <row r="54" spans="4:9" s="365" customFormat="1" x14ac:dyDescent="0.25">
      <c r="H54" s="817"/>
      <c r="I54" s="817"/>
    </row>
    <row r="55" spans="4:9" s="365" customFormat="1" x14ac:dyDescent="0.25">
      <c r="H55" s="817"/>
      <c r="I55" s="817"/>
    </row>
    <row r="56" spans="4:9" s="365" customFormat="1" x14ac:dyDescent="0.25">
      <c r="H56" s="817"/>
      <c r="I56" s="817"/>
    </row>
    <row r="57" spans="4:9" s="365" customFormat="1" x14ac:dyDescent="0.25">
      <c r="H57" s="817"/>
      <c r="I57" s="817"/>
    </row>
    <row r="58" spans="4:9" s="365" customFormat="1" x14ac:dyDescent="0.25">
      <c r="H58" s="817"/>
      <c r="I58" s="817"/>
    </row>
    <row r="59" spans="4:9" s="365" customFormat="1" x14ac:dyDescent="0.25">
      <c r="H59" s="817"/>
      <c r="I59" s="817"/>
    </row>
    <row r="60" spans="4:9" s="365" customFormat="1" x14ac:dyDescent="0.25">
      <c r="H60" s="817"/>
      <c r="I60" s="817"/>
    </row>
    <row r="61" spans="4:9" s="365" customFormat="1" x14ac:dyDescent="0.25">
      <c r="H61" s="817"/>
      <c r="I61" s="817"/>
    </row>
    <row r="62" spans="4:9" s="365" customFormat="1" x14ac:dyDescent="0.25">
      <c r="H62" s="817"/>
      <c r="I62" s="817"/>
    </row>
    <row r="63" spans="4:9" s="365" customFormat="1" x14ac:dyDescent="0.25">
      <c r="H63" s="817"/>
      <c r="I63" s="817"/>
    </row>
    <row r="64" spans="4:9" s="365" customFormat="1" x14ac:dyDescent="0.25">
      <c r="H64" s="817"/>
      <c r="I64" s="817"/>
    </row>
    <row r="65" spans="8:9" s="365" customFormat="1" x14ac:dyDescent="0.25">
      <c r="H65" s="817"/>
      <c r="I65" s="817"/>
    </row>
    <row r="66" spans="8:9" s="365" customFormat="1" x14ac:dyDescent="0.25">
      <c r="H66" s="817"/>
      <c r="I66" s="817"/>
    </row>
    <row r="67" spans="8:9" s="365" customFormat="1" x14ac:dyDescent="0.25">
      <c r="H67" s="817"/>
      <c r="I67" s="817"/>
    </row>
    <row r="68" spans="8:9" s="365" customFormat="1" x14ac:dyDescent="0.25">
      <c r="H68" s="817"/>
      <c r="I68" s="817"/>
    </row>
    <row r="69" spans="8:9" s="365" customFormat="1" x14ac:dyDescent="0.25">
      <c r="H69" s="817"/>
      <c r="I69" s="817"/>
    </row>
    <row r="70" spans="8:9" s="365" customFormat="1" x14ac:dyDescent="0.25">
      <c r="H70" s="817"/>
      <c r="I70" s="817"/>
    </row>
    <row r="71" spans="8:9" s="365" customFormat="1" x14ac:dyDescent="0.25">
      <c r="H71" s="817"/>
      <c r="I71" s="817"/>
    </row>
    <row r="72" spans="8:9" s="365" customFormat="1" x14ac:dyDescent="0.25">
      <c r="H72" s="817"/>
      <c r="I72" s="817"/>
    </row>
    <row r="73" spans="8:9" s="365" customFormat="1" x14ac:dyDescent="0.25">
      <c r="H73" s="817"/>
      <c r="I73" s="817"/>
    </row>
    <row r="74" spans="8:9" s="365" customFormat="1" x14ac:dyDescent="0.25">
      <c r="H74" s="817"/>
      <c r="I74" s="817"/>
    </row>
    <row r="75" spans="8:9" s="365" customFormat="1" x14ac:dyDescent="0.25">
      <c r="H75" s="817"/>
      <c r="I75" s="817"/>
    </row>
    <row r="76" spans="8:9" s="365" customFormat="1" x14ac:dyDescent="0.25">
      <c r="H76" s="817"/>
      <c r="I76" s="817"/>
    </row>
    <row r="77" spans="8:9" s="365" customFormat="1" x14ac:dyDescent="0.25">
      <c r="H77" s="817"/>
      <c r="I77" s="817"/>
    </row>
    <row r="78" spans="8:9" s="365" customFormat="1" x14ac:dyDescent="0.25">
      <c r="H78" s="817"/>
      <c r="I78" s="817"/>
    </row>
    <row r="79" spans="8:9" s="365" customFormat="1" x14ac:dyDescent="0.25">
      <c r="H79" s="817"/>
      <c r="I79" s="817"/>
    </row>
    <row r="80" spans="8:9" s="365" customFormat="1" x14ac:dyDescent="0.25">
      <c r="H80" s="817"/>
      <c r="I80" s="817"/>
    </row>
    <row r="81" spans="8:9" s="365" customFormat="1" x14ac:dyDescent="0.25">
      <c r="H81" s="817"/>
      <c r="I81" s="817"/>
    </row>
    <row r="82" spans="8:9" s="365" customFormat="1" x14ac:dyDescent="0.25">
      <c r="H82" s="817"/>
      <c r="I82" s="817"/>
    </row>
    <row r="83" spans="8:9" s="365" customFormat="1" x14ac:dyDescent="0.25">
      <c r="H83" s="817"/>
      <c r="I83" s="817"/>
    </row>
    <row r="84" spans="8:9" s="365" customFormat="1" x14ac:dyDescent="0.25">
      <c r="H84" s="817"/>
      <c r="I84" s="817"/>
    </row>
    <row r="85" spans="8:9" s="365" customFormat="1" x14ac:dyDescent="0.25">
      <c r="H85" s="817"/>
      <c r="I85" s="817"/>
    </row>
    <row r="86" spans="8:9" s="365" customFormat="1" x14ac:dyDescent="0.25">
      <c r="H86" s="817"/>
      <c r="I86" s="817"/>
    </row>
    <row r="87" spans="8:9" s="365" customFormat="1" x14ac:dyDescent="0.25">
      <c r="H87" s="817"/>
      <c r="I87" s="817"/>
    </row>
    <row r="88" spans="8:9" s="365" customFormat="1" x14ac:dyDescent="0.25">
      <c r="H88" s="817"/>
      <c r="I88" s="817"/>
    </row>
    <row r="89" spans="8:9" s="365" customFormat="1" x14ac:dyDescent="0.25">
      <c r="H89" s="817"/>
      <c r="I89" s="817"/>
    </row>
    <row r="90" spans="8:9" s="365" customFormat="1" x14ac:dyDescent="0.25">
      <c r="H90" s="817"/>
      <c r="I90" s="817"/>
    </row>
    <row r="91" spans="8:9" s="365" customFormat="1" x14ac:dyDescent="0.25">
      <c r="H91" s="817"/>
      <c r="I91" s="817"/>
    </row>
    <row r="92" spans="8:9" s="365" customFormat="1" x14ac:dyDescent="0.25">
      <c r="H92" s="817"/>
      <c r="I92" s="817"/>
    </row>
    <row r="93" spans="8:9" s="365" customFormat="1" x14ac:dyDescent="0.25">
      <c r="H93" s="817"/>
      <c r="I93" s="817"/>
    </row>
    <row r="94" spans="8:9" s="365" customFormat="1" x14ac:dyDescent="0.25">
      <c r="H94" s="817"/>
      <c r="I94" s="817"/>
    </row>
    <row r="95" spans="8:9" s="365" customFormat="1" x14ac:dyDescent="0.25">
      <c r="H95" s="817"/>
      <c r="I95" s="817"/>
    </row>
    <row r="96" spans="8:9" s="365" customFormat="1" x14ac:dyDescent="0.25">
      <c r="H96" s="817"/>
      <c r="I96" s="817"/>
    </row>
    <row r="97" spans="8:9" s="365" customFormat="1" x14ac:dyDescent="0.25">
      <c r="H97" s="817"/>
      <c r="I97" s="817"/>
    </row>
    <row r="98" spans="8:9" s="365" customFormat="1" x14ac:dyDescent="0.25">
      <c r="H98" s="817"/>
      <c r="I98" s="817"/>
    </row>
    <row r="99" spans="8:9" s="365" customFormat="1" x14ac:dyDescent="0.25">
      <c r="H99" s="817"/>
      <c r="I99" s="817"/>
    </row>
    <row r="100" spans="8:9" s="365" customFormat="1" x14ac:dyDescent="0.25">
      <c r="H100" s="817"/>
      <c r="I100" s="817"/>
    </row>
    <row r="101" spans="8:9" s="365" customFormat="1" x14ac:dyDescent="0.25">
      <c r="H101" s="817"/>
      <c r="I101" s="817"/>
    </row>
    <row r="102" spans="8:9" s="365" customFormat="1" x14ac:dyDescent="0.25">
      <c r="H102" s="817"/>
      <c r="I102" s="817"/>
    </row>
    <row r="103" spans="8:9" s="365" customFormat="1" x14ac:dyDescent="0.25">
      <c r="H103" s="817"/>
      <c r="I103" s="817"/>
    </row>
    <row r="104" spans="8:9" s="365" customFormat="1" x14ac:dyDescent="0.25">
      <c r="H104" s="817"/>
      <c r="I104" s="817"/>
    </row>
    <row r="105" spans="8:9" s="365" customFormat="1" x14ac:dyDescent="0.25">
      <c r="H105" s="817"/>
      <c r="I105" s="817"/>
    </row>
    <row r="106" spans="8:9" s="365" customFormat="1" x14ac:dyDescent="0.25">
      <c r="H106" s="817"/>
      <c r="I106" s="817"/>
    </row>
    <row r="107" spans="8:9" s="365" customFormat="1" x14ac:dyDescent="0.25">
      <c r="H107" s="817"/>
      <c r="I107" s="817"/>
    </row>
    <row r="108" spans="8:9" s="365" customFormat="1" x14ac:dyDescent="0.25">
      <c r="H108" s="817"/>
      <c r="I108" s="817"/>
    </row>
    <row r="109" spans="8:9" s="365" customFormat="1" x14ac:dyDescent="0.25">
      <c r="H109" s="817"/>
      <c r="I109" s="817"/>
    </row>
    <row r="110" spans="8:9" s="365" customFormat="1" x14ac:dyDescent="0.25">
      <c r="H110" s="817"/>
      <c r="I110" s="817"/>
    </row>
    <row r="111" spans="8:9" s="365" customFormat="1" x14ac:dyDescent="0.25">
      <c r="H111" s="817"/>
      <c r="I111" s="817"/>
    </row>
    <row r="112" spans="8:9" s="365" customFormat="1" x14ac:dyDescent="0.25">
      <c r="H112" s="817"/>
      <c r="I112" s="817"/>
    </row>
    <row r="113" spans="8:9" s="365" customFormat="1" x14ac:dyDescent="0.25">
      <c r="H113" s="817"/>
      <c r="I113" s="817"/>
    </row>
    <row r="114" spans="8:9" s="365" customFormat="1" x14ac:dyDescent="0.25">
      <c r="H114" s="817"/>
      <c r="I114" s="817"/>
    </row>
    <row r="115" spans="8:9" s="365" customFormat="1" x14ac:dyDescent="0.25">
      <c r="H115" s="817"/>
      <c r="I115" s="817"/>
    </row>
    <row r="116" spans="8:9" s="365" customFormat="1" x14ac:dyDescent="0.25">
      <c r="H116" s="817"/>
      <c r="I116" s="817"/>
    </row>
    <row r="117" spans="8:9" s="365" customFormat="1" x14ac:dyDescent="0.25">
      <c r="H117" s="817"/>
      <c r="I117" s="817"/>
    </row>
    <row r="118" spans="8:9" s="365" customFormat="1" x14ac:dyDescent="0.25">
      <c r="H118" s="817"/>
      <c r="I118" s="817"/>
    </row>
    <row r="119" spans="8:9" s="365" customFormat="1" x14ac:dyDescent="0.25">
      <c r="H119" s="817"/>
      <c r="I119" s="817"/>
    </row>
    <row r="120" spans="8:9" s="365" customFormat="1" x14ac:dyDescent="0.25">
      <c r="H120" s="817"/>
      <c r="I120" s="817"/>
    </row>
    <row r="121" spans="8:9" s="365" customFormat="1" x14ac:dyDescent="0.25">
      <c r="H121" s="817"/>
      <c r="I121" s="817"/>
    </row>
    <row r="122" spans="8:9" s="365" customFormat="1" x14ac:dyDescent="0.25">
      <c r="H122" s="817"/>
      <c r="I122" s="817"/>
    </row>
    <row r="123" spans="8:9" s="365" customFormat="1" x14ac:dyDescent="0.25">
      <c r="H123" s="817"/>
      <c r="I123" s="817"/>
    </row>
    <row r="124" spans="8:9" s="365" customFormat="1" x14ac:dyDescent="0.25">
      <c r="H124" s="817"/>
      <c r="I124" s="817"/>
    </row>
    <row r="125" spans="8:9" s="365" customFormat="1" x14ac:dyDescent="0.25">
      <c r="H125" s="817"/>
      <c r="I125" s="817"/>
    </row>
    <row r="126" spans="8:9" s="365" customFormat="1" x14ac:dyDescent="0.25">
      <c r="H126" s="817"/>
      <c r="I126" s="817"/>
    </row>
    <row r="127" spans="8:9" s="365" customFormat="1" x14ac:dyDescent="0.25">
      <c r="H127" s="817"/>
      <c r="I127" s="817"/>
    </row>
    <row r="128" spans="8:9" s="365" customFormat="1" x14ac:dyDescent="0.25">
      <c r="H128" s="817"/>
      <c r="I128" s="817"/>
    </row>
    <row r="129" spans="8:9" s="365" customFormat="1" x14ac:dyDescent="0.25">
      <c r="H129" s="817"/>
      <c r="I129" s="817"/>
    </row>
    <row r="130" spans="8:9" s="365" customFormat="1" x14ac:dyDescent="0.25">
      <c r="H130" s="817"/>
      <c r="I130" s="817"/>
    </row>
    <row r="131" spans="8:9" s="365" customFormat="1" x14ac:dyDescent="0.25">
      <c r="H131" s="817"/>
      <c r="I131" s="817"/>
    </row>
    <row r="132" spans="8:9" s="365" customFormat="1" x14ac:dyDescent="0.25">
      <c r="H132" s="817"/>
      <c r="I132" s="817"/>
    </row>
    <row r="133" spans="8:9" s="365" customFormat="1" x14ac:dyDescent="0.25">
      <c r="H133" s="817"/>
      <c r="I133" s="817"/>
    </row>
    <row r="134" spans="8:9" s="365" customFormat="1" x14ac:dyDescent="0.25">
      <c r="H134" s="817"/>
      <c r="I134" s="817"/>
    </row>
    <row r="135" spans="8:9" s="365" customFormat="1" x14ac:dyDescent="0.25">
      <c r="H135" s="817"/>
      <c r="I135" s="817"/>
    </row>
    <row r="136" spans="8:9" s="365" customFormat="1" x14ac:dyDescent="0.25">
      <c r="H136" s="817"/>
      <c r="I136" s="817"/>
    </row>
    <row r="137" spans="8:9" s="365" customFormat="1" x14ac:dyDescent="0.25">
      <c r="H137" s="817"/>
      <c r="I137" s="817"/>
    </row>
    <row r="138" spans="8:9" s="365" customFormat="1" x14ac:dyDescent="0.25">
      <c r="H138" s="817"/>
      <c r="I138" s="817"/>
    </row>
    <row r="139" spans="8:9" s="365" customFormat="1" x14ac:dyDescent="0.25">
      <c r="H139" s="817"/>
      <c r="I139" s="817"/>
    </row>
    <row r="140" spans="8:9" s="365" customFormat="1" x14ac:dyDescent="0.25">
      <c r="H140" s="817"/>
      <c r="I140" s="817"/>
    </row>
    <row r="141" spans="8:9" s="365" customFormat="1" x14ac:dyDescent="0.25">
      <c r="H141" s="817"/>
      <c r="I141" s="817"/>
    </row>
    <row r="142" spans="8:9" s="365" customFormat="1" x14ac:dyDescent="0.25">
      <c r="H142" s="817"/>
      <c r="I142" s="817"/>
    </row>
    <row r="143" spans="8:9" s="365" customFormat="1" x14ac:dyDescent="0.25">
      <c r="H143" s="817"/>
      <c r="I143" s="817"/>
    </row>
    <row r="144" spans="8:9" s="365" customFormat="1" x14ac:dyDescent="0.25">
      <c r="H144" s="817"/>
      <c r="I144" s="817"/>
    </row>
    <row r="145" spans="8:9" s="365" customFormat="1" x14ac:dyDescent="0.25">
      <c r="H145" s="817"/>
      <c r="I145" s="817"/>
    </row>
    <row r="146" spans="8:9" s="365" customFormat="1" x14ac:dyDescent="0.25">
      <c r="H146" s="817"/>
      <c r="I146" s="817"/>
    </row>
    <row r="147" spans="8:9" s="365" customFormat="1" x14ac:dyDescent="0.25">
      <c r="H147" s="817"/>
      <c r="I147" s="817"/>
    </row>
    <row r="148" spans="8:9" s="365" customFormat="1" x14ac:dyDescent="0.25">
      <c r="H148" s="817"/>
      <c r="I148" s="817"/>
    </row>
    <row r="149" spans="8:9" s="365" customFormat="1" x14ac:dyDescent="0.25">
      <c r="H149" s="817"/>
      <c r="I149" s="817"/>
    </row>
    <row r="150" spans="8:9" s="365" customFormat="1" x14ac:dyDescent="0.25">
      <c r="H150" s="817"/>
      <c r="I150" s="817"/>
    </row>
    <row r="151" spans="8:9" s="365" customFormat="1" x14ac:dyDescent="0.25">
      <c r="H151" s="817"/>
      <c r="I151" s="817"/>
    </row>
    <row r="152" spans="8:9" s="365" customFormat="1" x14ac:dyDescent="0.25">
      <c r="H152" s="817"/>
      <c r="I152" s="817"/>
    </row>
    <row r="153" spans="8:9" s="365" customFormat="1" x14ac:dyDescent="0.25">
      <c r="H153" s="817"/>
      <c r="I153" s="817"/>
    </row>
    <row r="154" spans="8:9" s="365" customFormat="1" x14ac:dyDescent="0.25">
      <c r="H154" s="817"/>
      <c r="I154" s="817"/>
    </row>
    <row r="155" spans="8:9" s="365" customFormat="1" x14ac:dyDescent="0.25">
      <c r="H155" s="817"/>
      <c r="I155" s="817"/>
    </row>
    <row r="156" spans="8:9" s="365" customFormat="1" x14ac:dyDescent="0.25">
      <c r="H156" s="817"/>
      <c r="I156" s="817"/>
    </row>
    <row r="157" spans="8:9" s="365" customFormat="1" x14ac:dyDescent="0.25">
      <c r="H157" s="817"/>
      <c r="I157" s="817"/>
    </row>
    <row r="158" spans="8:9" s="365" customFormat="1" x14ac:dyDescent="0.25">
      <c r="H158" s="817"/>
      <c r="I158" s="817"/>
    </row>
    <row r="159" spans="8:9" s="365" customFormat="1" x14ac:dyDescent="0.25">
      <c r="H159" s="817"/>
      <c r="I159" s="817"/>
    </row>
    <row r="160" spans="8:9" s="365" customFormat="1" x14ac:dyDescent="0.25">
      <c r="H160" s="817"/>
      <c r="I160" s="817"/>
    </row>
    <row r="161" spans="8:9" s="365" customFormat="1" x14ac:dyDescent="0.25">
      <c r="H161" s="817"/>
      <c r="I161" s="817"/>
    </row>
    <row r="162" spans="8:9" s="365" customFormat="1" x14ac:dyDescent="0.25">
      <c r="H162" s="817"/>
      <c r="I162" s="817"/>
    </row>
    <row r="163" spans="8:9" s="365" customFormat="1" x14ac:dyDescent="0.25">
      <c r="H163" s="817"/>
      <c r="I163" s="817"/>
    </row>
    <row r="164" spans="8:9" s="365" customFormat="1" x14ac:dyDescent="0.25">
      <c r="H164" s="817"/>
      <c r="I164" s="817"/>
    </row>
    <row r="165" spans="8:9" s="365" customFormat="1" x14ac:dyDescent="0.25">
      <c r="H165" s="817"/>
      <c r="I165" s="817"/>
    </row>
    <row r="166" spans="8:9" s="365" customFormat="1" x14ac:dyDescent="0.25">
      <c r="H166" s="817"/>
      <c r="I166" s="817"/>
    </row>
    <row r="167" spans="8:9" s="365" customFormat="1" x14ac:dyDescent="0.25">
      <c r="H167" s="817"/>
      <c r="I167" s="817"/>
    </row>
    <row r="168" spans="8:9" s="365" customFormat="1" x14ac:dyDescent="0.25">
      <c r="H168" s="817"/>
      <c r="I168" s="817"/>
    </row>
    <row r="169" spans="8:9" s="365" customFormat="1" x14ac:dyDescent="0.25">
      <c r="H169" s="817"/>
      <c r="I169" s="817"/>
    </row>
    <row r="170" spans="8:9" s="365" customFormat="1" x14ac:dyDescent="0.25">
      <c r="H170" s="817"/>
      <c r="I170" s="817"/>
    </row>
    <row r="171" spans="8:9" s="365" customFormat="1" x14ac:dyDescent="0.25">
      <c r="H171" s="817"/>
      <c r="I171" s="817"/>
    </row>
    <row r="172" spans="8:9" s="365" customFormat="1" x14ac:dyDescent="0.25">
      <c r="H172" s="817"/>
      <c r="I172" s="817"/>
    </row>
    <row r="173" spans="8:9" s="365" customFormat="1" x14ac:dyDescent="0.25">
      <c r="H173" s="817"/>
      <c r="I173" s="817"/>
    </row>
    <row r="174" spans="8:9" s="365" customFormat="1" x14ac:dyDescent="0.25">
      <c r="H174" s="817"/>
      <c r="I174" s="817"/>
    </row>
    <row r="175" spans="8:9" s="365" customFormat="1" x14ac:dyDescent="0.25">
      <c r="H175" s="817"/>
      <c r="I175" s="817"/>
    </row>
    <row r="176" spans="8:9" s="365" customFormat="1" x14ac:dyDescent="0.25">
      <c r="H176" s="817"/>
      <c r="I176" s="817"/>
    </row>
    <row r="177" spans="8:9" s="365" customFormat="1" x14ac:dyDescent="0.25">
      <c r="H177" s="817"/>
      <c r="I177" s="817"/>
    </row>
    <row r="178" spans="8:9" s="365" customFormat="1" x14ac:dyDescent="0.25">
      <c r="H178" s="817"/>
      <c r="I178" s="817"/>
    </row>
    <row r="179" spans="8:9" s="365" customFormat="1" x14ac:dyDescent="0.25">
      <c r="H179" s="817"/>
      <c r="I179" s="817"/>
    </row>
    <row r="180" spans="8:9" s="365" customFormat="1" x14ac:dyDescent="0.25">
      <c r="H180" s="817"/>
      <c r="I180" s="817"/>
    </row>
    <row r="181" spans="8:9" s="365" customFormat="1" x14ac:dyDescent="0.25">
      <c r="H181" s="817"/>
      <c r="I181" s="817"/>
    </row>
    <row r="182" spans="8:9" s="365" customFormat="1" x14ac:dyDescent="0.25">
      <c r="H182" s="817"/>
      <c r="I182" s="817"/>
    </row>
    <row r="183" spans="8:9" s="365" customFormat="1" x14ac:dyDescent="0.25">
      <c r="H183" s="817"/>
      <c r="I183" s="817"/>
    </row>
    <row r="184" spans="8:9" s="365" customFormat="1" x14ac:dyDescent="0.25">
      <c r="H184" s="817"/>
      <c r="I184" s="817"/>
    </row>
    <row r="185" spans="8:9" s="365" customFormat="1" x14ac:dyDescent="0.25">
      <c r="H185" s="817"/>
      <c r="I185" s="817"/>
    </row>
    <row r="186" spans="8:9" s="365" customFormat="1" x14ac:dyDescent="0.25">
      <c r="H186" s="817"/>
      <c r="I186" s="817"/>
    </row>
    <row r="187" spans="8:9" s="365" customFormat="1" x14ac:dyDescent="0.25">
      <c r="H187" s="817"/>
      <c r="I187" s="817"/>
    </row>
    <row r="188" spans="8:9" s="365" customFormat="1" x14ac:dyDescent="0.25">
      <c r="H188" s="817"/>
      <c r="I188" s="817"/>
    </row>
    <row r="189" spans="8:9" s="365" customFormat="1" x14ac:dyDescent="0.25">
      <c r="H189" s="817"/>
      <c r="I189" s="817"/>
    </row>
    <row r="190" spans="8:9" s="365" customFormat="1" x14ac:dyDescent="0.25">
      <c r="H190" s="817"/>
      <c r="I190" s="817"/>
    </row>
  </sheetData>
  <sheetProtection formatColumns="0"/>
  <mergeCells count="1">
    <mergeCell ref="D1:E1"/>
  </mergeCells>
  <phoneticPr fontId="0" type="noConversion"/>
  <pageMargins left="0.75" right="0.75" top="1" bottom="1" header="0.5" footer="0.5"/>
  <pageSetup scale="7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Y63"/>
  <sheetViews>
    <sheetView topLeftCell="BL1" zoomScale="90" zoomScaleNormal="90" workbookViewId="0">
      <selection activeCell="CA61" sqref="CA61"/>
    </sheetView>
  </sheetViews>
  <sheetFormatPr defaultColWidth="9.44140625" defaultRowHeight="13.2" x14ac:dyDescent="0.25"/>
  <cols>
    <col min="1" max="1" width="6.5546875" style="378" customWidth="1"/>
    <col min="2" max="2" width="38.44140625" style="371" customWidth="1"/>
    <col min="3" max="3" width="11.5546875" style="371" bestFit="1" customWidth="1"/>
    <col min="4" max="4" width="14.5546875" style="371" customWidth="1"/>
    <col min="5" max="5" width="18.44140625" style="371" customWidth="1"/>
    <col min="6" max="7" width="14.5546875" style="371" customWidth="1"/>
    <col min="8" max="8" width="17.44140625" style="371" customWidth="1"/>
    <col min="9" max="19" width="14.5546875" style="371" customWidth="1"/>
    <col min="20" max="20" width="17.21875" style="371" customWidth="1"/>
    <col min="21" max="22" width="14.5546875" style="371" customWidth="1"/>
    <col min="23" max="23" width="17.77734375" style="371" customWidth="1"/>
    <col min="24" max="34" width="14.5546875" style="371" customWidth="1"/>
    <col min="35" max="35" width="17.21875" style="371" customWidth="1"/>
    <col min="36" max="37" width="14.5546875" style="371" customWidth="1"/>
    <col min="38" max="38" width="17.5546875" style="371" customWidth="1"/>
    <col min="39" max="49" width="14.5546875" style="371" customWidth="1"/>
    <col min="50" max="50" width="17.21875" style="371" customWidth="1"/>
    <col min="51" max="52" width="14.5546875" style="371" customWidth="1"/>
    <col min="53" max="53" width="16.77734375" style="371" customWidth="1"/>
    <col min="54" max="64" width="14.5546875" style="371" customWidth="1"/>
    <col min="65" max="65" width="17.21875" style="371" customWidth="1"/>
    <col min="66" max="67" width="14.5546875" style="371" customWidth="1"/>
    <col min="68" max="68" width="16.77734375" style="371" customWidth="1"/>
    <col min="69" max="77" width="14.5546875" style="371" customWidth="1"/>
    <col min="78" max="16384" width="9.44140625" style="371"/>
  </cols>
  <sheetData>
    <row r="1" spans="1:77" ht="15.6" x14ac:dyDescent="0.3">
      <c r="A1" s="20" t="s">
        <v>1343</v>
      </c>
      <c r="B1" s="380"/>
      <c r="C1" s="380"/>
      <c r="D1" s="381"/>
      <c r="E1" s="381"/>
      <c r="F1" s="381"/>
      <c r="G1" s="381"/>
    </row>
    <row r="2" spans="1:77" ht="15.6" x14ac:dyDescent="0.25">
      <c r="A2" s="382"/>
      <c r="B2" s="18" t="s">
        <v>26</v>
      </c>
      <c r="C2" s="18"/>
      <c r="D2" s="445" t="str">
        <f>'Schedule 2_Balance Sheet'!C2</f>
        <v>Tufts Associated Health Plans, Inc. (TAHMO)</v>
      </c>
      <c r="E2" s="446"/>
      <c r="F2" s="446"/>
      <c r="G2" s="446"/>
      <c r="H2" s="447"/>
    </row>
    <row r="3" spans="1:77" ht="15.6" x14ac:dyDescent="0.25">
      <c r="A3" s="383"/>
      <c r="B3" s="18" t="s">
        <v>0</v>
      </c>
      <c r="C3" s="18"/>
      <c r="D3" s="580" t="str">
        <f>'Schedule 2_Balance Sheet'!C3</f>
        <v>01/01/2024 - 12/31/2024</v>
      </c>
      <c r="E3" s="581"/>
      <c r="F3" s="581"/>
      <c r="G3" s="581"/>
      <c r="H3" s="582"/>
    </row>
    <row r="4" spans="1:77" s="373" customFormat="1" ht="18" customHeight="1" x14ac:dyDescent="0.3">
      <c r="A4" s="263"/>
      <c r="B4" s="18" t="s">
        <v>27</v>
      </c>
      <c r="C4" s="18"/>
      <c r="D4" s="449">
        <f>'Schedule 2_Balance Sheet'!C4</f>
        <v>45657</v>
      </c>
      <c r="E4" s="446"/>
      <c r="F4" s="446"/>
      <c r="G4" s="446"/>
      <c r="H4" s="447"/>
      <c r="I4" s="372"/>
      <c r="J4" s="372"/>
      <c r="K4" s="372"/>
      <c r="L4" s="372"/>
      <c r="M4" s="372"/>
      <c r="U4" s="372"/>
      <c r="V4" s="372"/>
      <c r="X4" s="372"/>
      <c r="AF4" s="372"/>
      <c r="AG4" s="372"/>
      <c r="AI4" s="372"/>
      <c r="AP4" s="372"/>
      <c r="AQ4" s="372"/>
      <c r="AR4" s="372"/>
      <c r="AS4" s="372"/>
      <c r="AT4" s="372"/>
    </row>
    <row r="5" spans="1:77" s="373" customFormat="1" ht="15.6" x14ac:dyDescent="0.3">
      <c r="A5" s="263"/>
      <c r="B5" s="18" t="s">
        <v>28</v>
      </c>
      <c r="C5" s="18"/>
      <c r="D5" s="445" t="str">
        <f>'Schedule 2_Balance Sheet'!C5</f>
        <v>Roshni Parikh</v>
      </c>
      <c r="E5" s="446"/>
      <c r="F5" s="446"/>
      <c r="G5" s="446"/>
      <c r="H5" s="447"/>
    </row>
    <row r="6" spans="1:77" s="373" customFormat="1" ht="15.6" x14ac:dyDescent="0.3">
      <c r="A6" s="264"/>
      <c r="B6" s="18" t="s">
        <v>29</v>
      </c>
      <c r="C6" s="18"/>
      <c r="D6" s="449">
        <f>'Schedule 2_Balance Sheet'!C6</f>
        <v>45657</v>
      </c>
      <c r="E6" s="446"/>
      <c r="F6" s="446"/>
      <c r="G6" s="446"/>
      <c r="H6" s="447"/>
    </row>
    <row r="7" spans="1:77" s="373" customFormat="1" ht="18" customHeight="1" x14ac:dyDescent="0.3">
      <c r="A7" s="263" t="s">
        <v>321</v>
      </c>
      <c r="B7" s="265"/>
      <c r="C7" s="265"/>
      <c r="D7" s="158"/>
      <c r="E7" s="158"/>
      <c r="F7" s="158"/>
      <c r="G7" s="158"/>
    </row>
    <row r="8" spans="1:77" s="373" customFormat="1" ht="18" customHeight="1" x14ac:dyDescent="0.3">
      <c r="A8" s="263" t="s">
        <v>1549</v>
      </c>
      <c r="B8" s="265"/>
      <c r="C8" s="265"/>
      <c r="D8" s="158"/>
      <c r="E8" s="158"/>
      <c r="F8" s="158"/>
      <c r="G8" s="158"/>
    </row>
    <row r="9" spans="1:77" s="373" customFormat="1" ht="18" customHeight="1" x14ac:dyDescent="0.25">
      <c r="A9" s="374" t="s">
        <v>543</v>
      </c>
    </row>
    <row r="10" spans="1:77" s="373" customFormat="1" ht="11.25" customHeight="1" x14ac:dyDescent="0.25">
      <c r="A10" s="375"/>
      <c r="P10" s="815"/>
      <c r="AE10" s="815"/>
    </row>
    <row r="11" spans="1:77" s="373" customFormat="1" ht="14.25" customHeight="1" x14ac:dyDescent="0.25">
      <c r="A11" s="374"/>
      <c r="P11" s="815"/>
      <c r="AE11" s="815"/>
      <c r="AT11" s="815"/>
      <c r="BX11" s="815"/>
    </row>
    <row r="12" spans="1:77" s="373" customFormat="1" ht="15" customHeight="1" x14ac:dyDescent="0.25">
      <c r="A12" s="375"/>
      <c r="P12" s="815"/>
      <c r="Q12" s="815"/>
      <c r="AE12" s="815"/>
      <c r="AF12" s="815"/>
      <c r="AT12" s="815"/>
      <c r="AU12" s="815"/>
      <c r="BX12" s="815"/>
      <c r="BY12" s="815"/>
    </row>
    <row r="13" spans="1:77" s="373" customFormat="1" ht="15" customHeight="1" x14ac:dyDescent="0.25">
      <c r="A13" s="251"/>
      <c r="B13" s="159"/>
      <c r="C13" s="715"/>
      <c r="D13" s="164" t="s">
        <v>126</v>
      </c>
      <c r="E13" s="165"/>
      <c r="F13" s="165"/>
      <c r="G13" s="165"/>
      <c r="H13" s="165"/>
      <c r="I13" s="165"/>
      <c r="J13" s="165"/>
      <c r="K13" s="165"/>
      <c r="L13" s="165"/>
      <c r="M13" s="165"/>
      <c r="N13" s="165"/>
      <c r="O13" s="165"/>
      <c r="P13" s="718"/>
      <c r="Q13" s="718"/>
      <c r="R13" s="158"/>
      <c r="S13" s="160" t="s">
        <v>127</v>
      </c>
      <c r="T13" s="161"/>
      <c r="U13" s="161"/>
      <c r="V13" s="161"/>
      <c r="W13" s="161"/>
      <c r="X13" s="161"/>
      <c r="Y13" s="161"/>
      <c r="Z13" s="161"/>
      <c r="AA13" s="161"/>
      <c r="AB13" s="161"/>
      <c r="AC13" s="161"/>
      <c r="AD13" s="161"/>
      <c r="AE13" s="162"/>
      <c r="AF13" s="718"/>
      <c r="AG13" s="158"/>
      <c r="AH13" s="160" t="s">
        <v>128</v>
      </c>
      <c r="AI13" s="161"/>
      <c r="AJ13" s="161"/>
      <c r="AK13" s="161"/>
      <c r="AL13" s="161"/>
      <c r="AM13" s="161"/>
      <c r="AN13" s="161"/>
      <c r="AO13" s="161"/>
      <c r="AP13" s="161"/>
      <c r="AQ13" s="161"/>
      <c r="AR13" s="161"/>
      <c r="AS13" s="161"/>
      <c r="AT13" s="162"/>
      <c r="AU13" s="718"/>
      <c r="AV13" s="158"/>
      <c r="AW13" s="160" t="s">
        <v>129</v>
      </c>
      <c r="AX13" s="161"/>
      <c r="AY13" s="161"/>
      <c r="AZ13" s="161"/>
      <c r="BA13" s="161"/>
      <c r="BB13" s="161"/>
      <c r="BC13" s="161"/>
      <c r="BD13" s="161"/>
      <c r="BE13" s="161"/>
      <c r="BF13" s="161"/>
      <c r="BG13" s="161"/>
      <c r="BH13" s="161"/>
      <c r="BI13" s="162"/>
      <c r="BJ13" s="718"/>
      <c r="BL13" s="160" t="s">
        <v>1486</v>
      </c>
      <c r="BM13" s="161"/>
      <c r="BN13" s="161"/>
      <c r="BO13" s="161"/>
      <c r="BP13" s="161"/>
      <c r="BQ13" s="161"/>
      <c r="BR13" s="161"/>
      <c r="BS13" s="161"/>
      <c r="BT13" s="161"/>
      <c r="BU13" s="161"/>
      <c r="BV13" s="161"/>
      <c r="BW13" s="161"/>
      <c r="BX13" s="162"/>
      <c r="BY13" s="718"/>
    </row>
    <row r="14" spans="1:77" s="376" customFormat="1" ht="15" customHeight="1" x14ac:dyDescent="0.25">
      <c r="A14" s="134" t="s">
        <v>226</v>
      </c>
      <c r="B14" s="163"/>
      <c r="C14" s="163"/>
      <c r="D14" s="897" t="s">
        <v>322</v>
      </c>
      <c r="E14" s="897" t="s">
        <v>1429</v>
      </c>
      <c r="F14" s="897" t="s">
        <v>1427</v>
      </c>
      <c r="G14" s="897" t="s">
        <v>323</v>
      </c>
      <c r="H14" s="897" t="s">
        <v>1430</v>
      </c>
      <c r="I14" s="897" t="s">
        <v>1428</v>
      </c>
      <c r="J14" s="897" t="s">
        <v>248</v>
      </c>
      <c r="K14" s="164" t="s">
        <v>249</v>
      </c>
      <c r="L14" s="165"/>
      <c r="M14" s="165"/>
      <c r="N14" s="165"/>
      <c r="O14" s="161"/>
      <c r="P14" s="899" t="s">
        <v>250</v>
      </c>
      <c r="Q14" s="901" t="s">
        <v>1421</v>
      </c>
      <c r="R14" s="166"/>
      <c r="S14" s="897" t="s">
        <v>322</v>
      </c>
      <c r="T14" s="897" t="s">
        <v>1429</v>
      </c>
      <c r="U14" s="897" t="s">
        <v>1427</v>
      </c>
      <c r="V14" s="897" t="s">
        <v>323</v>
      </c>
      <c r="W14" s="897" t="s">
        <v>1430</v>
      </c>
      <c r="X14" s="897" t="s">
        <v>1428</v>
      </c>
      <c r="Y14" s="897" t="s">
        <v>248</v>
      </c>
      <c r="Z14" s="164" t="s">
        <v>249</v>
      </c>
      <c r="AA14" s="165"/>
      <c r="AB14" s="165"/>
      <c r="AC14" s="165"/>
      <c r="AD14" s="161"/>
      <c r="AE14" s="899" t="s">
        <v>250</v>
      </c>
      <c r="AF14" s="901" t="s">
        <v>1421</v>
      </c>
      <c r="AG14" s="166"/>
      <c r="AH14" s="897" t="s">
        <v>322</v>
      </c>
      <c r="AI14" s="897" t="s">
        <v>1429</v>
      </c>
      <c r="AJ14" s="897" t="s">
        <v>1427</v>
      </c>
      <c r="AK14" s="897" t="s">
        <v>323</v>
      </c>
      <c r="AL14" s="897" t="s">
        <v>1430</v>
      </c>
      <c r="AM14" s="897" t="s">
        <v>1428</v>
      </c>
      <c r="AN14" s="897" t="s">
        <v>248</v>
      </c>
      <c r="AO14" s="164" t="s">
        <v>249</v>
      </c>
      <c r="AP14" s="165"/>
      <c r="AQ14" s="165"/>
      <c r="AR14" s="165"/>
      <c r="AS14" s="161"/>
      <c r="AT14" s="899" t="s">
        <v>250</v>
      </c>
      <c r="AU14" s="901" t="s">
        <v>1421</v>
      </c>
      <c r="AV14" s="166"/>
      <c r="AW14" s="897" t="s">
        <v>322</v>
      </c>
      <c r="AX14" s="897" t="s">
        <v>1429</v>
      </c>
      <c r="AY14" s="897" t="s">
        <v>1427</v>
      </c>
      <c r="AZ14" s="897" t="s">
        <v>323</v>
      </c>
      <c r="BA14" s="897" t="s">
        <v>1430</v>
      </c>
      <c r="BB14" s="897" t="s">
        <v>1428</v>
      </c>
      <c r="BC14" s="897" t="s">
        <v>248</v>
      </c>
      <c r="BD14" s="164" t="s">
        <v>249</v>
      </c>
      <c r="BE14" s="165"/>
      <c r="BF14" s="165"/>
      <c r="BG14" s="165"/>
      <c r="BH14" s="161"/>
      <c r="BI14" s="899" t="s">
        <v>324</v>
      </c>
      <c r="BJ14" s="901" t="s">
        <v>1421</v>
      </c>
      <c r="BL14" s="897" t="s">
        <v>322</v>
      </c>
      <c r="BM14" s="897" t="s">
        <v>1429</v>
      </c>
      <c r="BN14" s="897" t="s">
        <v>1427</v>
      </c>
      <c r="BO14" s="897" t="s">
        <v>323</v>
      </c>
      <c r="BP14" s="897" t="s">
        <v>1430</v>
      </c>
      <c r="BQ14" s="897" t="s">
        <v>1428</v>
      </c>
      <c r="BR14" s="897" t="s">
        <v>248</v>
      </c>
      <c r="BS14" s="164" t="s">
        <v>249</v>
      </c>
      <c r="BT14" s="165"/>
      <c r="BU14" s="165"/>
      <c r="BV14" s="165"/>
      <c r="BW14" s="161"/>
      <c r="BX14" s="899" t="s">
        <v>324</v>
      </c>
      <c r="BY14" s="901" t="s">
        <v>1421</v>
      </c>
    </row>
    <row r="15" spans="1:77" s="377" customFormat="1" ht="35.549999999999997" customHeight="1" x14ac:dyDescent="0.25">
      <c r="A15" s="136" t="s">
        <v>227</v>
      </c>
      <c r="B15" s="167"/>
      <c r="C15" s="167"/>
      <c r="D15" s="898"/>
      <c r="E15" s="898"/>
      <c r="F15" s="898"/>
      <c r="G15" s="898"/>
      <c r="H15" s="898"/>
      <c r="I15" s="898"/>
      <c r="J15" s="898"/>
      <c r="K15" s="705" t="s">
        <v>244</v>
      </c>
      <c r="L15" s="732" t="s">
        <v>1419</v>
      </c>
      <c r="M15" s="705" t="s">
        <v>325</v>
      </c>
      <c r="N15" s="705" t="s">
        <v>1452</v>
      </c>
      <c r="O15" s="705" t="s">
        <v>1453</v>
      </c>
      <c r="P15" s="900"/>
      <c r="Q15" s="902"/>
      <c r="R15" s="168"/>
      <c r="S15" s="898"/>
      <c r="T15" s="898"/>
      <c r="U15" s="898"/>
      <c r="V15" s="898"/>
      <c r="W15" s="898"/>
      <c r="X15" s="898"/>
      <c r="Y15" s="898"/>
      <c r="Z15" s="705" t="s">
        <v>244</v>
      </c>
      <c r="AA15" s="732" t="s">
        <v>1419</v>
      </c>
      <c r="AB15" s="705" t="s">
        <v>325</v>
      </c>
      <c r="AC15" s="705" t="s">
        <v>1452</v>
      </c>
      <c r="AD15" s="705" t="s">
        <v>1453</v>
      </c>
      <c r="AE15" s="900"/>
      <c r="AF15" s="902"/>
      <c r="AG15" s="168"/>
      <c r="AH15" s="898"/>
      <c r="AI15" s="898"/>
      <c r="AJ15" s="898"/>
      <c r="AK15" s="898"/>
      <c r="AL15" s="898"/>
      <c r="AM15" s="898"/>
      <c r="AN15" s="898"/>
      <c r="AO15" s="705" t="s">
        <v>244</v>
      </c>
      <c r="AP15" s="732" t="s">
        <v>1419</v>
      </c>
      <c r="AQ15" s="705" t="s">
        <v>325</v>
      </c>
      <c r="AR15" s="705" t="s">
        <v>1452</v>
      </c>
      <c r="AS15" s="705" t="s">
        <v>1453</v>
      </c>
      <c r="AT15" s="900"/>
      <c r="AU15" s="902"/>
      <c r="AV15" s="168"/>
      <c r="AW15" s="898"/>
      <c r="AX15" s="898"/>
      <c r="AY15" s="898"/>
      <c r="AZ15" s="898"/>
      <c r="BA15" s="898"/>
      <c r="BB15" s="898"/>
      <c r="BC15" s="898"/>
      <c r="BD15" s="705" t="s">
        <v>244</v>
      </c>
      <c r="BE15" s="732" t="s">
        <v>1419</v>
      </c>
      <c r="BF15" s="705" t="s">
        <v>325</v>
      </c>
      <c r="BG15" s="705" t="s">
        <v>1452</v>
      </c>
      <c r="BH15" s="705" t="s">
        <v>1453</v>
      </c>
      <c r="BI15" s="900"/>
      <c r="BJ15" s="902"/>
      <c r="BL15" s="898"/>
      <c r="BM15" s="898"/>
      <c r="BN15" s="898"/>
      <c r="BO15" s="898"/>
      <c r="BP15" s="898"/>
      <c r="BQ15" s="898"/>
      <c r="BR15" s="898"/>
      <c r="BS15" s="705" t="s">
        <v>244</v>
      </c>
      <c r="BT15" s="732" t="s">
        <v>1419</v>
      </c>
      <c r="BU15" s="705" t="s">
        <v>325</v>
      </c>
      <c r="BV15" s="705" t="s">
        <v>1452</v>
      </c>
      <c r="BW15" s="705" t="s">
        <v>1453</v>
      </c>
      <c r="BX15" s="900"/>
      <c r="BY15" s="902"/>
    </row>
    <row r="16" spans="1:77" s="373" customFormat="1" x14ac:dyDescent="0.25">
      <c r="A16" s="169"/>
      <c r="B16" s="170" t="s">
        <v>326</v>
      </c>
      <c r="C16" s="182"/>
      <c r="D16" s="171"/>
      <c r="E16" s="171"/>
      <c r="F16" s="172"/>
      <c r="G16" s="171"/>
      <c r="H16" s="171"/>
      <c r="I16" s="172"/>
      <c r="J16" s="172"/>
      <c r="K16" s="173"/>
      <c r="L16" s="173"/>
      <c r="M16" s="173"/>
      <c r="N16" s="173"/>
      <c r="O16" s="173"/>
      <c r="P16" s="172"/>
      <c r="Q16" s="172"/>
      <c r="R16" s="158"/>
      <c r="S16" s="171"/>
      <c r="T16" s="171"/>
      <c r="U16" s="172"/>
      <c r="V16" s="171"/>
      <c r="W16" s="171"/>
      <c r="X16" s="172"/>
      <c r="Y16" s="172"/>
      <c r="Z16" s="173"/>
      <c r="AA16" s="173"/>
      <c r="AB16" s="173"/>
      <c r="AC16" s="173"/>
      <c r="AD16" s="173"/>
      <c r="AE16" s="172"/>
      <c r="AF16" s="735"/>
      <c r="AG16" s="158"/>
      <c r="AH16" s="171"/>
      <c r="AI16" s="171"/>
      <c r="AJ16" s="172"/>
      <c r="AK16" s="171"/>
      <c r="AL16" s="171"/>
      <c r="AM16" s="172"/>
      <c r="AN16" s="172"/>
      <c r="AO16" s="173"/>
      <c r="AP16" s="173"/>
      <c r="AQ16" s="173"/>
      <c r="AR16" s="173"/>
      <c r="AS16" s="173"/>
      <c r="AT16" s="172"/>
      <c r="AU16" s="735"/>
      <c r="AV16" s="158"/>
      <c r="AW16" s="171"/>
      <c r="AX16" s="171"/>
      <c r="AY16" s="172"/>
      <c r="AZ16" s="171"/>
      <c r="BA16" s="171"/>
      <c r="BB16" s="172"/>
      <c r="BC16" s="172"/>
      <c r="BD16" s="173"/>
      <c r="BE16" s="173"/>
      <c r="BF16" s="173"/>
      <c r="BG16" s="173"/>
      <c r="BH16" s="173"/>
      <c r="BI16" s="172"/>
      <c r="BJ16" s="735"/>
      <c r="BL16" s="171"/>
      <c r="BM16" s="171"/>
      <c r="BN16" s="172"/>
      <c r="BO16" s="171"/>
      <c r="BP16" s="171"/>
      <c r="BQ16" s="172"/>
      <c r="BR16" s="172"/>
      <c r="BS16" s="173"/>
      <c r="BT16" s="173"/>
      <c r="BU16" s="173"/>
      <c r="BV16" s="173"/>
      <c r="BW16" s="173"/>
      <c r="BX16" s="172"/>
      <c r="BY16" s="735"/>
    </row>
    <row r="17" spans="1:77" s="373" customFormat="1" x14ac:dyDescent="0.25">
      <c r="A17" s="174"/>
      <c r="B17" s="175" t="s">
        <v>232</v>
      </c>
      <c r="C17" s="716"/>
      <c r="D17" s="176"/>
      <c r="E17" s="176"/>
      <c r="F17" s="177"/>
      <c r="G17" s="176"/>
      <c r="H17" s="176"/>
      <c r="I17" s="177"/>
      <c r="J17" s="177"/>
      <c r="K17" s="178"/>
      <c r="L17" s="178"/>
      <c r="M17" s="178"/>
      <c r="N17" s="178"/>
      <c r="O17" s="178"/>
      <c r="P17" s="177"/>
      <c r="Q17" s="177"/>
      <c r="R17" s="158"/>
      <c r="S17" s="176"/>
      <c r="T17" s="176"/>
      <c r="U17" s="177"/>
      <c r="V17" s="176"/>
      <c r="W17" s="176"/>
      <c r="X17" s="177"/>
      <c r="Y17" s="177"/>
      <c r="Z17" s="178"/>
      <c r="AA17" s="178"/>
      <c r="AB17" s="178"/>
      <c r="AC17" s="178"/>
      <c r="AD17" s="178"/>
      <c r="AE17" s="177"/>
      <c r="AF17" s="736"/>
      <c r="AG17" s="158"/>
      <c r="AH17" s="176"/>
      <c r="AI17" s="176"/>
      <c r="AJ17" s="177"/>
      <c r="AK17" s="176"/>
      <c r="AL17" s="176"/>
      <c r="AM17" s="177"/>
      <c r="AN17" s="177"/>
      <c r="AO17" s="178"/>
      <c r="AP17" s="178"/>
      <c r="AQ17" s="178"/>
      <c r="AR17" s="178"/>
      <c r="AS17" s="178"/>
      <c r="AT17" s="177"/>
      <c r="AU17" s="736"/>
      <c r="AV17" s="158"/>
      <c r="AW17" s="176"/>
      <c r="AX17" s="176"/>
      <c r="AY17" s="177"/>
      <c r="AZ17" s="176"/>
      <c r="BA17" s="176"/>
      <c r="BB17" s="177"/>
      <c r="BC17" s="177"/>
      <c r="BD17" s="178"/>
      <c r="BE17" s="178"/>
      <c r="BF17" s="178"/>
      <c r="BG17" s="178"/>
      <c r="BH17" s="178"/>
      <c r="BI17" s="177"/>
      <c r="BJ17" s="736"/>
      <c r="BL17" s="176"/>
      <c r="BM17" s="176"/>
      <c r="BN17" s="177"/>
      <c r="BO17" s="176"/>
      <c r="BP17" s="176"/>
      <c r="BQ17" s="177"/>
      <c r="BR17" s="177"/>
      <c r="BS17" s="178"/>
      <c r="BT17" s="178"/>
      <c r="BU17" s="178"/>
      <c r="BV17" s="178"/>
      <c r="BW17" s="178"/>
      <c r="BX17" s="177"/>
      <c r="BY17" s="736"/>
    </row>
    <row r="18" spans="1:77" s="373" customFormat="1" x14ac:dyDescent="0.25">
      <c r="A18" s="179">
        <v>1</v>
      </c>
      <c r="B18" s="129" t="s">
        <v>281</v>
      </c>
      <c r="C18" s="129" t="s">
        <v>204</v>
      </c>
      <c r="D18" s="257">
        <v>12155235.129999995</v>
      </c>
      <c r="E18" s="257"/>
      <c r="F18" s="384">
        <f>SUM(D18:E18)</f>
        <v>12155235.129999995</v>
      </c>
      <c r="G18" s="257">
        <v>3153940.4499999993</v>
      </c>
      <c r="H18" s="257"/>
      <c r="I18" s="384">
        <f>SUM(G18:H18)</f>
        <v>3153940.4499999993</v>
      </c>
      <c r="J18" s="384">
        <f>F18+I18</f>
        <v>15309175.579999994</v>
      </c>
      <c r="K18" s="257">
        <v>-4.0045115850506261E-9</v>
      </c>
      <c r="L18" s="257"/>
      <c r="M18" s="257"/>
      <c r="N18" s="257"/>
      <c r="O18" s="742"/>
      <c r="P18" s="246">
        <f>SUM(J18:N18)</f>
        <v>15309175.579999991</v>
      </c>
      <c r="Q18" s="733">
        <f>P18-O18-'Schedule 3A_Income Statement'!CO35</f>
        <v>0</v>
      </c>
      <c r="R18" s="247"/>
      <c r="S18" s="257">
        <v>12872598.379999999</v>
      </c>
      <c r="T18" s="257"/>
      <c r="U18" s="384">
        <f>SUM(S18:T18)</f>
        <v>12872598.379999999</v>
      </c>
      <c r="V18" s="257">
        <v>2321000.3199999998</v>
      </c>
      <c r="W18" s="257"/>
      <c r="X18" s="384">
        <f>SUM(V18:W18)</f>
        <v>2321000.3199999998</v>
      </c>
      <c r="Y18" s="384">
        <f>U18+X18</f>
        <v>15193598.699999999</v>
      </c>
      <c r="Z18" s="257">
        <v>8010.3915174606427</v>
      </c>
      <c r="AA18" s="257"/>
      <c r="AB18" s="257"/>
      <c r="AC18" s="257"/>
      <c r="AD18" s="742"/>
      <c r="AE18" s="246">
        <f>SUM(Y18:AC18)</f>
        <v>15201609.09151746</v>
      </c>
      <c r="AF18" s="733">
        <f>AE18-AD18-'Schedule 3A_Income Statement'!CP35</f>
        <v>0</v>
      </c>
      <c r="AG18" s="247"/>
      <c r="AH18" s="257">
        <v>13411248.93</v>
      </c>
      <c r="AI18" s="257"/>
      <c r="AJ18" s="384">
        <f>SUM(AH18:AI18)</f>
        <v>13411248.93</v>
      </c>
      <c r="AK18" s="257">
        <v>2709230.0500000003</v>
      </c>
      <c r="AL18" s="257"/>
      <c r="AM18" s="384">
        <f>SUM(AK18:AL18)</f>
        <v>2709230.0500000003</v>
      </c>
      <c r="AN18" s="384">
        <f>AJ18+AM18</f>
        <v>16120478.98</v>
      </c>
      <c r="AO18" s="257">
        <v>44671.593375014527</v>
      </c>
      <c r="AP18" s="257"/>
      <c r="AQ18" s="257"/>
      <c r="AR18" s="257"/>
      <c r="AS18" s="742"/>
      <c r="AT18" s="246">
        <f>SUM(AN18:AR18)</f>
        <v>16165150.573375015</v>
      </c>
      <c r="AU18" s="733">
        <f>AT18-AS18-'Schedule 3A_Income Statement'!CQ35</f>
        <v>0</v>
      </c>
      <c r="AV18" s="247"/>
      <c r="AW18" s="257">
        <v>13521542.129999999</v>
      </c>
      <c r="AX18" s="257"/>
      <c r="AY18" s="384">
        <f>SUM(AW18:AX18)</f>
        <v>13521542.129999999</v>
      </c>
      <c r="AZ18" s="257">
        <v>3353067.040000001</v>
      </c>
      <c r="BA18" s="257"/>
      <c r="BB18" s="384">
        <f>SUM(AZ18:BA18)</f>
        <v>3353067.040000001</v>
      </c>
      <c r="BC18" s="384">
        <f>AY18+BB18</f>
        <v>16874609.170000002</v>
      </c>
      <c r="BD18" s="257">
        <v>134141.94314210111</v>
      </c>
      <c r="BE18" s="257"/>
      <c r="BF18" s="257"/>
      <c r="BG18" s="257"/>
      <c r="BH18" s="742"/>
      <c r="BI18" s="246">
        <f>SUM(BC18:BG18)</f>
        <v>17008751.113142103</v>
      </c>
      <c r="BJ18" s="733">
        <f>BI18-BH18-'Schedule 3A_Income Statement'!CR35</f>
        <v>0</v>
      </c>
      <c r="BL18" s="384">
        <f>D18+S18+AH18+AW18</f>
        <v>51960624.569999993</v>
      </c>
      <c r="BM18" s="384">
        <f t="shared" ref="BM18:BM45" si="0">E18+T18+AI18+AX18</f>
        <v>0</v>
      </c>
      <c r="BN18" s="384">
        <f t="shared" ref="BN18:BN45" si="1">F18+U18+AJ18+AY18</f>
        <v>51960624.569999993</v>
      </c>
      <c r="BO18" s="384">
        <f t="shared" ref="BO18:BO45" si="2">G18+V18+AK18+AZ18</f>
        <v>11537237.860000001</v>
      </c>
      <c r="BP18" s="384">
        <f t="shared" ref="BP18:BP45" si="3">H18+W18+AL18+BA18</f>
        <v>0</v>
      </c>
      <c r="BQ18" s="384">
        <f t="shared" ref="BQ18:BQ45" si="4">I18+X18+AM18+BB18</f>
        <v>11537237.860000001</v>
      </c>
      <c r="BR18" s="384">
        <f t="shared" ref="BR18:BR45" si="5">J18+Y18+AN18+BC18</f>
        <v>63497862.429999992</v>
      </c>
      <c r="BS18" s="384">
        <f t="shared" ref="BS18:BS45" si="6">K18+Z18+AO18+BD18</f>
        <v>186823.92803457228</v>
      </c>
      <c r="BT18" s="384">
        <f t="shared" ref="BT18:BT45" si="7">L18+AA18+AP18+BE18</f>
        <v>0</v>
      </c>
      <c r="BU18" s="384">
        <f t="shared" ref="BU18:BU45" si="8">M18+AB18+AQ18+BF18</f>
        <v>0</v>
      </c>
      <c r="BV18" s="384">
        <f t="shared" ref="BV18:BV45" si="9">N18+AC18+AR18+BG18</f>
        <v>0</v>
      </c>
      <c r="BW18" s="384">
        <f t="shared" ref="BW18:BW45" si="10">O18+AD18+AS18+BH18</f>
        <v>0</v>
      </c>
      <c r="BX18" s="384">
        <f t="shared" ref="BX18:BX45" si="11">P18+AE18+AT18+BI18</f>
        <v>63684686.358034566</v>
      </c>
      <c r="BY18" s="384">
        <f t="shared" ref="BY18:BY45" si="12">Q18+AF18+AU18+BJ18</f>
        <v>0</v>
      </c>
    </row>
    <row r="19" spans="1:77" s="373" customFormat="1" x14ac:dyDescent="0.25">
      <c r="A19" s="180">
        <v>2</v>
      </c>
      <c r="B19" s="131" t="s">
        <v>282</v>
      </c>
      <c r="C19" s="131" t="s">
        <v>204</v>
      </c>
      <c r="D19" s="257">
        <v>588525.46000000008</v>
      </c>
      <c r="E19" s="257"/>
      <c r="F19" s="384">
        <f t="shared" ref="F19:F52" si="13">SUM(D19:E19)</f>
        <v>588525.46000000008</v>
      </c>
      <c r="G19" s="257">
        <v>35440</v>
      </c>
      <c r="H19" s="257"/>
      <c r="I19" s="384">
        <f t="shared" ref="I19:I45" si="14">SUM(G19:H19)</f>
        <v>35440</v>
      </c>
      <c r="J19" s="384">
        <f t="shared" ref="J19:J45" si="15">F19+I19</f>
        <v>623965.46000000008</v>
      </c>
      <c r="K19" s="257">
        <v>-7.3324214625845693E-11</v>
      </c>
      <c r="L19" s="257"/>
      <c r="M19" s="257"/>
      <c r="N19" s="257"/>
      <c r="O19" s="742"/>
      <c r="P19" s="246">
        <f t="shared" ref="P19:P45" si="16">SUM(J19:N19)</f>
        <v>623965.46</v>
      </c>
      <c r="Q19" s="733">
        <f>P19-O19-'Schedule 3A_Income Statement'!CO36</f>
        <v>0</v>
      </c>
      <c r="R19" s="247"/>
      <c r="S19" s="257">
        <v>515469.18</v>
      </c>
      <c r="T19" s="257"/>
      <c r="U19" s="384">
        <f t="shared" ref="U19:U45" si="17">SUM(S19:T19)</f>
        <v>515469.18</v>
      </c>
      <c r="V19" s="257">
        <v>80553.709999999992</v>
      </c>
      <c r="W19" s="257"/>
      <c r="X19" s="384">
        <f t="shared" ref="X19:X45" si="18">SUM(V19:W19)</f>
        <v>80553.709999999992</v>
      </c>
      <c r="Y19" s="384">
        <f t="shared" ref="Y19:Y45" si="19">U19+X19</f>
        <v>596022.89</v>
      </c>
      <c r="Z19" s="257">
        <v>319.47535907012588</v>
      </c>
      <c r="AA19" s="257"/>
      <c r="AB19" s="257"/>
      <c r="AC19" s="257"/>
      <c r="AD19" s="742"/>
      <c r="AE19" s="246">
        <f t="shared" ref="AE19:AE45" si="20">SUM(Y19:AC19)</f>
        <v>596342.36535907013</v>
      </c>
      <c r="AF19" s="733">
        <f>AE19-AD19-'Schedule 3A_Income Statement'!CP36</f>
        <v>0</v>
      </c>
      <c r="AG19" s="247"/>
      <c r="AH19" s="257">
        <v>403843.10000000003</v>
      </c>
      <c r="AI19" s="257"/>
      <c r="AJ19" s="384">
        <f t="shared" ref="AJ19:AJ45" si="21">SUM(AH19:AI19)</f>
        <v>403843.10000000003</v>
      </c>
      <c r="AK19" s="257">
        <v>43151.48</v>
      </c>
      <c r="AL19" s="257"/>
      <c r="AM19" s="384">
        <f t="shared" ref="AM19:AM45" si="22">SUM(AK19:AL19)</f>
        <v>43151.48</v>
      </c>
      <c r="AN19" s="384">
        <f t="shared" ref="AN19:AN45" si="23">AJ19+AM19</f>
        <v>446994.58</v>
      </c>
      <c r="AO19" s="257">
        <v>1292.8601358829897</v>
      </c>
      <c r="AP19" s="257"/>
      <c r="AQ19" s="257"/>
      <c r="AR19" s="257"/>
      <c r="AS19" s="742"/>
      <c r="AT19" s="246">
        <f t="shared" ref="AT19:AT45" si="24">SUM(AN19:AR19)</f>
        <v>448287.44013588299</v>
      </c>
      <c r="AU19" s="733">
        <f>AT19-AS19-'Schedule 3A_Income Statement'!CQ36</f>
        <v>0</v>
      </c>
      <c r="AV19" s="247"/>
      <c r="AW19" s="257">
        <v>447001.33999999997</v>
      </c>
      <c r="AX19" s="257"/>
      <c r="AY19" s="384">
        <f t="shared" ref="AY19:AY45" si="25">SUM(AW19:AX19)</f>
        <v>447001.33999999997</v>
      </c>
      <c r="AZ19" s="257">
        <v>48071.17</v>
      </c>
      <c r="BA19" s="257"/>
      <c r="BB19" s="384">
        <f t="shared" ref="BB19:BB45" si="26">SUM(AZ19:BA19)</f>
        <v>48071.17</v>
      </c>
      <c r="BC19" s="384">
        <f t="shared" ref="BC19:BC45" si="27">AY19+BB19</f>
        <v>495072.50999999995</v>
      </c>
      <c r="BD19" s="257">
        <v>4093.0983681989587</v>
      </c>
      <c r="BE19" s="257"/>
      <c r="BF19" s="257"/>
      <c r="BG19" s="257"/>
      <c r="BH19" s="742"/>
      <c r="BI19" s="246">
        <f t="shared" ref="BI19:BI45" si="28">SUM(BC19:BG19)</f>
        <v>499165.60836819891</v>
      </c>
      <c r="BJ19" s="733">
        <f>BI19-BH19-'Schedule 3A_Income Statement'!CR36</f>
        <v>0</v>
      </c>
      <c r="BL19" s="384">
        <f t="shared" ref="BL19:BL45" si="29">D19+S19+AH19+AW19</f>
        <v>1954839.08</v>
      </c>
      <c r="BM19" s="384">
        <f t="shared" si="0"/>
        <v>0</v>
      </c>
      <c r="BN19" s="384">
        <f t="shared" si="1"/>
        <v>1954839.08</v>
      </c>
      <c r="BO19" s="384">
        <f t="shared" si="2"/>
        <v>207216.36</v>
      </c>
      <c r="BP19" s="384">
        <f t="shared" si="3"/>
        <v>0</v>
      </c>
      <c r="BQ19" s="384">
        <f t="shared" si="4"/>
        <v>207216.36</v>
      </c>
      <c r="BR19" s="384">
        <f t="shared" si="5"/>
        <v>2162055.44</v>
      </c>
      <c r="BS19" s="384">
        <f t="shared" si="6"/>
        <v>5705.4338631520004</v>
      </c>
      <c r="BT19" s="384">
        <f t="shared" si="7"/>
        <v>0</v>
      </c>
      <c r="BU19" s="384">
        <f t="shared" si="8"/>
        <v>0</v>
      </c>
      <c r="BV19" s="384">
        <f t="shared" si="9"/>
        <v>0</v>
      </c>
      <c r="BW19" s="384">
        <f t="shared" si="10"/>
        <v>0</v>
      </c>
      <c r="BX19" s="384">
        <f t="shared" si="11"/>
        <v>2167760.8738631522</v>
      </c>
      <c r="BY19" s="384">
        <f t="shared" si="12"/>
        <v>0</v>
      </c>
    </row>
    <row r="20" spans="1:77" s="373" customFormat="1" x14ac:dyDescent="0.25">
      <c r="A20" s="179">
        <v>3</v>
      </c>
      <c r="B20" s="129" t="s">
        <v>283</v>
      </c>
      <c r="C20" s="129" t="s">
        <v>203</v>
      </c>
      <c r="D20" s="257">
        <v>8291028.2900000103</v>
      </c>
      <c r="E20" s="257"/>
      <c r="F20" s="384">
        <f t="shared" si="13"/>
        <v>8291028.2900000103</v>
      </c>
      <c r="G20" s="257">
        <v>3509884.7699999958</v>
      </c>
      <c r="H20" s="257"/>
      <c r="I20" s="384">
        <f t="shared" si="14"/>
        <v>3509884.7699999958</v>
      </c>
      <c r="J20" s="384">
        <f t="shared" si="15"/>
        <v>11800913.060000006</v>
      </c>
      <c r="K20" s="257">
        <v>-4.1282678150222153E-9</v>
      </c>
      <c r="L20" s="257"/>
      <c r="M20" s="257"/>
      <c r="N20" s="257"/>
      <c r="O20" s="742"/>
      <c r="P20" s="246">
        <f t="shared" si="16"/>
        <v>11800913.060000002</v>
      </c>
      <c r="Q20" s="733">
        <f>P20-O20-'Schedule 3A_Income Statement'!CO37</f>
        <v>0</v>
      </c>
      <c r="R20" s="247"/>
      <c r="S20" s="257">
        <v>9532849.7800000049</v>
      </c>
      <c r="T20" s="257"/>
      <c r="U20" s="384">
        <f t="shared" si="17"/>
        <v>9532849.7800000049</v>
      </c>
      <c r="V20" s="257">
        <v>4193545.8499999987</v>
      </c>
      <c r="W20" s="257"/>
      <c r="X20" s="384">
        <f t="shared" si="18"/>
        <v>4193545.8499999987</v>
      </c>
      <c r="Y20" s="384">
        <f t="shared" si="19"/>
        <v>13726395.630000003</v>
      </c>
      <c r="Z20" s="257">
        <v>6190.2285291357066</v>
      </c>
      <c r="AA20" s="257"/>
      <c r="AB20" s="257"/>
      <c r="AC20" s="257"/>
      <c r="AD20" s="742"/>
      <c r="AE20" s="246">
        <f t="shared" si="20"/>
        <v>13732585.858529139</v>
      </c>
      <c r="AF20" s="733">
        <f>AE20-AD20-'Schedule 3A_Income Statement'!CP37</f>
        <v>0</v>
      </c>
      <c r="AG20" s="247"/>
      <c r="AH20" s="257">
        <v>10160864.999999998</v>
      </c>
      <c r="AI20" s="257"/>
      <c r="AJ20" s="384">
        <f t="shared" si="21"/>
        <v>10160864.999999998</v>
      </c>
      <c r="AK20" s="257">
        <v>4136665.6799999997</v>
      </c>
      <c r="AL20" s="257"/>
      <c r="AM20" s="384">
        <f t="shared" si="22"/>
        <v>4136665.6799999997</v>
      </c>
      <c r="AN20" s="384">
        <f t="shared" si="23"/>
        <v>14297530.679999998</v>
      </c>
      <c r="AO20" s="257">
        <v>36681.274901365141</v>
      </c>
      <c r="AP20" s="257"/>
      <c r="AQ20" s="257"/>
      <c r="AR20" s="257"/>
      <c r="AS20" s="742"/>
      <c r="AT20" s="246">
        <f t="shared" si="24"/>
        <v>14334211.954901364</v>
      </c>
      <c r="AU20" s="733">
        <f>AT20-AS20-'Schedule 3A_Income Statement'!CQ37</f>
        <v>0</v>
      </c>
      <c r="AV20" s="247"/>
      <c r="AW20" s="257">
        <v>10404996.93</v>
      </c>
      <c r="AX20" s="257"/>
      <c r="AY20" s="384">
        <f t="shared" si="25"/>
        <v>10404996.93</v>
      </c>
      <c r="AZ20" s="257">
        <v>4139753.4400000023</v>
      </c>
      <c r="BA20" s="257"/>
      <c r="BB20" s="384">
        <f t="shared" si="26"/>
        <v>4139753.4400000023</v>
      </c>
      <c r="BC20" s="384">
        <f t="shared" si="27"/>
        <v>14544750.370000001</v>
      </c>
      <c r="BD20" s="257">
        <v>111705.89178845593</v>
      </c>
      <c r="BE20" s="257"/>
      <c r="BF20" s="257"/>
      <c r="BG20" s="257"/>
      <c r="BH20" s="742"/>
      <c r="BI20" s="246">
        <f t="shared" si="28"/>
        <v>14656456.261788458</v>
      </c>
      <c r="BJ20" s="733">
        <f>BI20-BH20-'Schedule 3A_Income Statement'!CR37</f>
        <v>0</v>
      </c>
      <c r="BL20" s="384">
        <f t="shared" si="29"/>
        <v>38389740.000000015</v>
      </c>
      <c r="BM20" s="384">
        <f t="shared" si="0"/>
        <v>0</v>
      </c>
      <c r="BN20" s="384">
        <f t="shared" si="1"/>
        <v>38389740.000000015</v>
      </c>
      <c r="BO20" s="384">
        <f t="shared" si="2"/>
        <v>15979849.739999995</v>
      </c>
      <c r="BP20" s="384">
        <f t="shared" si="3"/>
        <v>0</v>
      </c>
      <c r="BQ20" s="384">
        <f t="shared" si="4"/>
        <v>15979849.739999995</v>
      </c>
      <c r="BR20" s="384">
        <f t="shared" si="5"/>
        <v>54369589.74000001</v>
      </c>
      <c r="BS20" s="384">
        <f t="shared" si="6"/>
        <v>154577.39521895265</v>
      </c>
      <c r="BT20" s="384">
        <f t="shared" si="7"/>
        <v>0</v>
      </c>
      <c r="BU20" s="384">
        <f t="shared" si="8"/>
        <v>0</v>
      </c>
      <c r="BV20" s="384">
        <f t="shared" si="9"/>
        <v>0</v>
      </c>
      <c r="BW20" s="384">
        <f t="shared" si="10"/>
        <v>0</v>
      </c>
      <c r="BX20" s="384">
        <f t="shared" si="11"/>
        <v>54524167.135218963</v>
      </c>
      <c r="BY20" s="384">
        <f t="shared" si="12"/>
        <v>0</v>
      </c>
    </row>
    <row r="21" spans="1:77" s="373" customFormat="1" x14ac:dyDescent="0.25">
      <c r="A21" s="180">
        <v>4</v>
      </c>
      <c r="B21" s="131" t="s">
        <v>284</v>
      </c>
      <c r="C21" s="737" t="s">
        <v>234</v>
      </c>
      <c r="D21" s="257">
        <v>620347.9499999996</v>
      </c>
      <c r="E21" s="259"/>
      <c r="F21" s="384">
        <f t="shared" si="13"/>
        <v>620347.9499999996</v>
      </c>
      <c r="G21" s="259">
        <v>292377.45000000007</v>
      </c>
      <c r="H21" s="259"/>
      <c r="I21" s="384">
        <f t="shared" si="14"/>
        <v>292377.45000000007</v>
      </c>
      <c r="J21" s="384">
        <f t="shared" si="15"/>
        <v>912725.39999999967</v>
      </c>
      <c r="K21" s="257">
        <v>-3.3948296205385421E-10</v>
      </c>
      <c r="L21" s="257"/>
      <c r="M21" s="257"/>
      <c r="N21" s="257"/>
      <c r="O21" s="742"/>
      <c r="P21" s="246">
        <f t="shared" si="16"/>
        <v>912725.39999999932</v>
      </c>
      <c r="Q21" s="733">
        <f>P21-O21-'Schedule 3A_Income Statement'!CO38</f>
        <v>0</v>
      </c>
      <c r="R21" s="247"/>
      <c r="S21" s="257">
        <v>659933.04999999993</v>
      </c>
      <c r="T21" s="259"/>
      <c r="U21" s="384">
        <f t="shared" si="17"/>
        <v>659933.04999999993</v>
      </c>
      <c r="V21" s="259">
        <v>274229.95</v>
      </c>
      <c r="W21" s="259"/>
      <c r="X21" s="384">
        <f t="shared" si="18"/>
        <v>274229.95</v>
      </c>
      <c r="Y21" s="384">
        <f t="shared" si="19"/>
        <v>934163</v>
      </c>
      <c r="Z21" s="257">
        <v>426.85570145758845</v>
      </c>
      <c r="AA21" s="257"/>
      <c r="AB21" s="257"/>
      <c r="AC21" s="257"/>
      <c r="AD21" s="742"/>
      <c r="AE21" s="246">
        <f t="shared" si="20"/>
        <v>934589.85570145759</v>
      </c>
      <c r="AF21" s="733">
        <f>AE21-AD21-'Schedule 3A_Income Statement'!CP38</f>
        <v>0</v>
      </c>
      <c r="AG21" s="247"/>
      <c r="AH21" s="257">
        <v>714883.21</v>
      </c>
      <c r="AI21" s="259"/>
      <c r="AJ21" s="384">
        <f t="shared" si="21"/>
        <v>714883.21</v>
      </c>
      <c r="AK21" s="259">
        <v>292743.10000000009</v>
      </c>
      <c r="AL21" s="259"/>
      <c r="AM21" s="384">
        <f t="shared" si="22"/>
        <v>292743.10000000009</v>
      </c>
      <c r="AN21" s="384">
        <f t="shared" si="23"/>
        <v>1007626.31</v>
      </c>
      <c r="AO21" s="257">
        <v>2583.0831996634615</v>
      </c>
      <c r="AP21" s="257"/>
      <c r="AQ21" s="257"/>
      <c r="AR21" s="257"/>
      <c r="AS21" s="742"/>
      <c r="AT21" s="246">
        <f t="shared" si="24"/>
        <v>1010209.3931996635</v>
      </c>
      <c r="AU21" s="733">
        <f>AT21-AS21-'Schedule 3A_Income Statement'!CQ38</f>
        <v>0</v>
      </c>
      <c r="AV21" s="247"/>
      <c r="AW21" s="257">
        <v>745394.04</v>
      </c>
      <c r="AX21" s="259"/>
      <c r="AY21" s="384">
        <f t="shared" si="25"/>
        <v>745394.04</v>
      </c>
      <c r="AZ21" s="257">
        <v>276970.68000000005</v>
      </c>
      <c r="BA21" s="259"/>
      <c r="BB21" s="384">
        <f t="shared" si="26"/>
        <v>276970.68000000005</v>
      </c>
      <c r="BC21" s="384">
        <f t="shared" si="27"/>
        <v>1022364.7200000001</v>
      </c>
      <c r="BD21" s="257">
        <v>7895.8315141779858</v>
      </c>
      <c r="BE21" s="257"/>
      <c r="BF21" s="257"/>
      <c r="BG21" s="257"/>
      <c r="BH21" s="742"/>
      <c r="BI21" s="246">
        <f t="shared" si="28"/>
        <v>1030260.551514178</v>
      </c>
      <c r="BJ21" s="733">
        <f>BI21-BH21-'Schedule 3A_Income Statement'!CR38</f>
        <v>0</v>
      </c>
      <c r="BL21" s="384">
        <f t="shared" si="29"/>
        <v>2740558.2499999995</v>
      </c>
      <c r="BM21" s="384">
        <f t="shared" si="0"/>
        <v>0</v>
      </c>
      <c r="BN21" s="384">
        <f t="shared" si="1"/>
        <v>2740558.2499999995</v>
      </c>
      <c r="BO21" s="384">
        <f t="shared" si="2"/>
        <v>1136321.1800000002</v>
      </c>
      <c r="BP21" s="384">
        <f t="shared" si="3"/>
        <v>0</v>
      </c>
      <c r="BQ21" s="384">
        <f t="shared" si="4"/>
        <v>1136321.1800000002</v>
      </c>
      <c r="BR21" s="384">
        <f t="shared" si="5"/>
        <v>3876879.43</v>
      </c>
      <c r="BS21" s="384">
        <f t="shared" si="6"/>
        <v>10905.770415298695</v>
      </c>
      <c r="BT21" s="384">
        <f t="shared" si="7"/>
        <v>0</v>
      </c>
      <c r="BU21" s="384">
        <f t="shared" si="8"/>
        <v>0</v>
      </c>
      <c r="BV21" s="384">
        <f t="shared" si="9"/>
        <v>0</v>
      </c>
      <c r="BW21" s="384">
        <f t="shared" si="10"/>
        <v>0</v>
      </c>
      <c r="BX21" s="384">
        <f t="shared" si="11"/>
        <v>3887785.2004152983</v>
      </c>
      <c r="BY21" s="384">
        <f t="shared" si="12"/>
        <v>0</v>
      </c>
    </row>
    <row r="22" spans="1:77" s="373" customFormat="1" x14ac:dyDescent="0.25">
      <c r="A22" s="179">
        <v>5</v>
      </c>
      <c r="B22" s="129" t="s">
        <v>234</v>
      </c>
      <c r="C22" s="721" t="s">
        <v>234</v>
      </c>
      <c r="D22" s="257">
        <v>5428386.6400000034</v>
      </c>
      <c r="E22" s="257"/>
      <c r="F22" s="384">
        <f t="shared" si="13"/>
        <v>5428386.6400000034</v>
      </c>
      <c r="G22" s="257">
        <v>3574910.7599999988</v>
      </c>
      <c r="H22" s="257"/>
      <c r="I22" s="384">
        <f t="shared" si="14"/>
        <v>3574910.7599999988</v>
      </c>
      <c r="J22" s="384">
        <f t="shared" si="15"/>
        <v>9003297.4000000022</v>
      </c>
      <c r="K22" s="257">
        <v>-4.0156990035977065E-9</v>
      </c>
      <c r="L22" s="257"/>
      <c r="M22" s="257"/>
      <c r="N22" s="257"/>
      <c r="O22" s="742"/>
      <c r="P22" s="246">
        <f t="shared" si="16"/>
        <v>9003297.3999999985</v>
      </c>
      <c r="Q22" s="733">
        <f>P22-O22-'Schedule 3A_Income Statement'!CO39</f>
        <v>0</v>
      </c>
      <c r="R22" s="247"/>
      <c r="S22" s="257">
        <v>6169252.6499999892</v>
      </c>
      <c r="T22" s="257"/>
      <c r="U22" s="384">
        <f t="shared" si="17"/>
        <v>6169252.6499999892</v>
      </c>
      <c r="V22" s="257">
        <v>3238838.4600000028</v>
      </c>
      <c r="W22" s="257"/>
      <c r="X22" s="384">
        <f t="shared" si="18"/>
        <v>3238838.4600000028</v>
      </c>
      <c r="Y22" s="384">
        <f t="shared" si="19"/>
        <v>9408091.109999992</v>
      </c>
      <c r="Z22" s="257">
        <v>4060.8019195268444</v>
      </c>
      <c r="AA22" s="257"/>
      <c r="AB22" s="257"/>
      <c r="AC22" s="257"/>
      <c r="AD22" s="742"/>
      <c r="AE22" s="246">
        <f t="shared" si="20"/>
        <v>9412151.9119195193</v>
      </c>
      <c r="AF22" s="733">
        <f>AE22-AD22-'Schedule 3A_Income Statement'!CP39</f>
        <v>0</v>
      </c>
      <c r="AG22" s="247"/>
      <c r="AH22" s="257">
        <v>6476838.809999994</v>
      </c>
      <c r="AI22" s="257"/>
      <c r="AJ22" s="384">
        <f t="shared" si="21"/>
        <v>6476838.809999994</v>
      </c>
      <c r="AK22" s="257">
        <v>3465802.0000000005</v>
      </c>
      <c r="AL22" s="257"/>
      <c r="AM22" s="384">
        <f t="shared" si="22"/>
        <v>3465802.0000000005</v>
      </c>
      <c r="AN22" s="384">
        <f t="shared" si="23"/>
        <v>9942640.8099999949</v>
      </c>
      <c r="AO22" s="257">
        <v>24509.968005832081</v>
      </c>
      <c r="AP22" s="257"/>
      <c r="AQ22" s="257"/>
      <c r="AR22" s="257"/>
      <c r="AS22" s="742"/>
      <c r="AT22" s="246">
        <f t="shared" si="24"/>
        <v>9967150.7780058272</v>
      </c>
      <c r="AU22" s="733">
        <f>AT22-AS22-'Schedule 3A_Income Statement'!CQ39</f>
        <v>0</v>
      </c>
      <c r="AV22" s="247"/>
      <c r="AW22" s="257">
        <v>6801591.9199999971</v>
      </c>
      <c r="AX22" s="257"/>
      <c r="AY22" s="384">
        <f t="shared" si="25"/>
        <v>6801591.9199999971</v>
      </c>
      <c r="AZ22" s="257">
        <v>3511959.7699999986</v>
      </c>
      <c r="BA22" s="257"/>
      <c r="BB22" s="384">
        <f t="shared" si="26"/>
        <v>3511959.7699999986</v>
      </c>
      <c r="BC22" s="384">
        <f t="shared" si="27"/>
        <v>10313551.689999996</v>
      </c>
      <c r="BD22" s="257">
        <v>77403.431350044557</v>
      </c>
      <c r="BE22" s="257"/>
      <c r="BF22" s="257"/>
      <c r="BG22" s="257"/>
      <c r="BH22" s="742"/>
      <c r="BI22" s="246">
        <f t="shared" si="28"/>
        <v>10390955.121350041</v>
      </c>
      <c r="BJ22" s="733">
        <f>BI22-BH22-'Schedule 3A_Income Statement'!CR39</f>
        <v>0</v>
      </c>
      <c r="BL22" s="384">
        <f t="shared" si="29"/>
        <v>24876070.019999985</v>
      </c>
      <c r="BM22" s="384">
        <f t="shared" si="0"/>
        <v>0</v>
      </c>
      <c r="BN22" s="384">
        <f t="shared" si="1"/>
        <v>24876070.019999985</v>
      </c>
      <c r="BO22" s="384">
        <f t="shared" si="2"/>
        <v>13791510.990000002</v>
      </c>
      <c r="BP22" s="384">
        <f t="shared" si="3"/>
        <v>0</v>
      </c>
      <c r="BQ22" s="384">
        <f t="shared" si="4"/>
        <v>13791510.990000002</v>
      </c>
      <c r="BR22" s="384">
        <f t="shared" si="5"/>
        <v>38667581.009999983</v>
      </c>
      <c r="BS22" s="384">
        <f t="shared" si="6"/>
        <v>105974.20127539946</v>
      </c>
      <c r="BT22" s="384">
        <f t="shared" si="7"/>
        <v>0</v>
      </c>
      <c r="BU22" s="384">
        <f t="shared" si="8"/>
        <v>0</v>
      </c>
      <c r="BV22" s="384">
        <f t="shared" si="9"/>
        <v>0</v>
      </c>
      <c r="BW22" s="384">
        <f t="shared" si="10"/>
        <v>0</v>
      </c>
      <c r="BX22" s="384">
        <f t="shared" si="11"/>
        <v>38773555.211275384</v>
      </c>
      <c r="BY22" s="384">
        <f t="shared" si="12"/>
        <v>0</v>
      </c>
    </row>
    <row r="23" spans="1:77" s="373" customFormat="1" x14ac:dyDescent="0.25">
      <c r="A23" s="179">
        <v>6</v>
      </c>
      <c r="B23" s="129" t="s">
        <v>236</v>
      </c>
      <c r="C23" s="721" t="s">
        <v>234</v>
      </c>
      <c r="D23" s="257">
        <v>0</v>
      </c>
      <c r="E23" s="257"/>
      <c r="F23" s="384">
        <f t="shared" si="13"/>
        <v>0</v>
      </c>
      <c r="G23" s="257">
        <v>319982.24999999994</v>
      </c>
      <c r="H23" s="257"/>
      <c r="I23" s="384">
        <f t="shared" si="14"/>
        <v>319982.24999999994</v>
      </c>
      <c r="J23" s="384">
        <f t="shared" si="15"/>
        <v>319982.24999999994</v>
      </c>
      <c r="K23" s="257">
        <v>-3.2898221361608292E-10</v>
      </c>
      <c r="L23" s="257"/>
      <c r="M23" s="257"/>
      <c r="N23" s="257"/>
      <c r="O23" s="742"/>
      <c r="P23" s="246">
        <f t="shared" si="16"/>
        <v>319982.24999999959</v>
      </c>
      <c r="Q23" s="733">
        <f>P23-O23-'Schedule 3A_Income Statement'!CO40</f>
        <v>0</v>
      </c>
      <c r="R23" s="247"/>
      <c r="S23" s="257">
        <v>0</v>
      </c>
      <c r="T23" s="257"/>
      <c r="U23" s="384">
        <f t="shared" si="17"/>
        <v>0</v>
      </c>
      <c r="V23" s="257">
        <v>380809.45</v>
      </c>
      <c r="W23" s="257"/>
      <c r="X23" s="384">
        <f t="shared" si="18"/>
        <v>380809.45</v>
      </c>
      <c r="Y23" s="384">
        <f t="shared" si="19"/>
        <v>380809.45</v>
      </c>
      <c r="Z23" s="257">
        <v>39.716957040556977</v>
      </c>
      <c r="AA23" s="257"/>
      <c r="AB23" s="257"/>
      <c r="AC23" s="257"/>
      <c r="AD23" s="742"/>
      <c r="AE23" s="246">
        <f t="shared" si="20"/>
        <v>380849.16695704055</v>
      </c>
      <c r="AF23" s="733">
        <f>AE23-AD23-'Schedule 3A_Income Statement'!CP40</f>
        <v>0</v>
      </c>
      <c r="AG23" s="247"/>
      <c r="AH23" s="257">
        <v>0</v>
      </c>
      <c r="AI23" s="257"/>
      <c r="AJ23" s="384">
        <f t="shared" si="21"/>
        <v>0</v>
      </c>
      <c r="AK23" s="257">
        <v>396828.78</v>
      </c>
      <c r="AL23" s="257"/>
      <c r="AM23" s="384">
        <f t="shared" si="22"/>
        <v>396828.78</v>
      </c>
      <c r="AN23" s="384">
        <f t="shared" si="23"/>
        <v>396828.78</v>
      </c>
      <c r="AO23" s="257">
        <v>540.08529539455628</v>
      </c>
      <c r="AP23" s="257"/>
      <c r="AQ23" s="257"/>
      <c r="AR23" s="257"/>
      <c r="AS23" s="742"/>
      <c r="AT23" s="246">
        <f t="shared" si="24"/>
        <v>397368.86529539456</v>
      </c>
      <c r="AU23" s="733">
        <f>AT23-AS23-'Schedule 3A_Income Statement'!CQ40</f>
        <v>0</v>
      </c>
      <c r="AV23" s="247"/>
      <c r="AW23" s="257">
        <v>0</v>
      </c>
      <c r="AX23" s="257"/>
      <c r="AY23" s="384">
        <f t="shared" si="25"/>
        <v>0</v>
      </c>
      <c r="AZ23" s="257">
        <v>430662.02999999997</v>
      </c>
      <c r="BA23" s="257"/>
      <c r="BB23" s="384">
        <f t="shared" si="26"/>
        <v>430662.02999999997</v>
      </c>
      <c r="BC23" s="384">
        <f t="shared" si="27"/>
        <v>430662.02999999997</v>
      </c>
      <c r="BD23" s="257">
        <v>2342.2920286280078</v>
      </c>
      <c r="BE23" s="257"/>
      <c r="BF23" s="257"/>
      <c r="BG23" s="257"/>
      <c r="BH23" s="742"/>
      <c r="BI23" s="246">
        <f t="shared" si="28"/>
        <v>433004.32202862797</v>
      </c>
      <c r="BJ23" s="733">
        <f>BI23-BH23-'Schedule 3A_Income Statement'!CR40</f>
        <v>0</v>
      </c>
      <c r="BL23" s="384">
        <f t="shared" si="29"/>
        <v>0</v>
      </c>
      <c r="BM23" s="384">
        <f t="shared" si="0"/>
        <v>0</v>
      </c>
      <c r="BN23" s="384">
        <f t="shared" si="1"/>
        <v>0</v>
      </c>
      <c r="BO23" s="384">
        <f t="shared" si="2"/>
        <v>1528282.51</v>
      </c>
      <c r="BP23" s="384">
        <f t="shared" si="3"/>
        <v>0</v>
      </c>
      <c r="BQ23" s="384">
        <f t="shared" si="4"/>
        <v>1528282.51</v>
      </c>
      <c r="BR23" s="384">
        <f t="shared" si="5"/>
        <v>1528282.51</v>
      </c>
      <c r="BS23" s="384">
        <f t="shared" si="6"/>
        <v>2922.0942810627921</v>
      </c>
      <c r="BT23" s="384">
        <f t="shared" si="7"/>
        <v>0</v>
      </c>
      <c r="BU23" s="384">
        <f t="shared" si="8"/>
        <v>0</v>
      </c>
      <c r="BV23" s="384">
        <f t="shared" si="9"/>
        <v>0</v>
      </c>
      <c r="BW23" s="384">
        <f t="shared" si="10"/>
        <v>0</v>
      </c>
      <c r="BX23" s="384">
        <f t="shared" si="11"/>
        <v>1531204.6042810627</v>
      </c>
      <c r="BY23" s="384">
        <f t="shared" si="12"/>
        <v>0</v>
      </c>
    </row>
    <row r="24" spans="1:77" s="373" customFormat="1" x14ac:dyDescent="0.25">
      <c r="A24" s="730">
        <v>7</v>
      </c>
      <c r="B24" s="131" t="s">
        <v>201</v>
      </c>
      <c r="C24" s="737" t="s">
        <v>201</v>
      </c>
      <c r="D24" s="257">
        <v>2873.11</v>
      </c>
      <c r="E24" s="257"/>
      <c r="F24" s="384">
        <f t="shared" si="13"/>
        <v>2873.11</v>
      </c>
      <c r="G24" s="257">
        <v>3957052.52</v>
      </c>
      <c r="H24" s="257"/>
      <c r="I24" s="384">
        <f t="shared" si="14"/>
        <v>3957052.52</v>
      </c>
      <c r="J24" s="384">
        <f t="shared" si="15"/>
        <v>3959925.63</v>
      </c>
      <c r="K24" s="257">
        <v>-7.5566619316704666E-13</v>
      </c>
      <c r="L24" s="257"/>
      <c r="M24" s="257"/>
      <c r="N24" s="257"/>
      <c r="O24" s="742"/>
      <c r="P24" s="246">
        <f t="shared" si="16"/>
        <v>3959925.63</v>
      </c>
      <c r="Q24" s="733">
        <f>P24-O24-'Schedule 3A_Income Statement'!CO41</f>
        <v>0</v>
      </c>
      <c r="R24" s="247"/>
      <c r="S24" s="257">
        <v>938.8900000000001</v>
      </c>
      <c r="T24" s="257"/>
      <c r="U24" s="384">
        <f t="shared" si="17"/>
        <v>938.8900000000001</v>
      </c>
      <c r="V24" s="257">
        <v>4452100.09</v>
      </c>
      <c r="W24" s="257"/>
      <c r="X24" s="384">
        <f t="shared" si="18"/>
        <v>4452100.09</v>
      </c>
      <c r="Y24" s="384">
        <f t="shared" si="19"/>
        <v>4453038.9799999995</v>
      </c>
      <c r="Z24" s="257">
        <v>0.60632514641293278</v>
      </c>
      <c r="AA24" s="257"/>
      <c r="AB24" s="257"/>
      <c r="AC24" s="257"/>
      <c r="AD24" s="742"/>
      <c r="AE24" s="246">
        <f t="shared" si="20"/>
        <v>4453039.5863251463</v>
      </c>
      <c r="AF24" s="733">
        <f>AE24-AD24-'Schedule 3A_Income Statement'!CP41</f>
        <v>0</v>
      </c>
      <c r="AG24" s="247"/>
      <c r="AH24" s="257">
        <v>4693.12</v>
      </c>
      <c r="AI24" s="257"/>
      <c r="AJ24" s="384">
        <f t="shared" si="21"/>
        <v>4693.12</v>
      </c>
      <c r="AK24" s="257">
        <v>4332957.78</v>
      </c>
      <c r="AL24" s="257"/>
      <c r="AM24" s="384">
        <f t="shared" si="22"/>
        <v>4332957.78</v>
      </c>
      <c r="AN24" s="384">
        <f t="shared" si="23"/>
        <v>4337650.9000000004</v>
      </c>
      <c r="AO24" s="257">
        <v>16.178172498483274</v>
      </c>
      <c r="AP24" s="257"/>
      <c r="AQ24" s="257"/>
      <c r="AR24" s="257"/>
      <c r="AS24" s="742"/>
      <c r="AT24" s="246">
        <f t="shared" si="24"/>
        <v>4337667.0781724993</v>
      </c>
      <c r="AU24" s="733">
        <f>AT24-AS24-'Schedule 3A_Income Statement'!CQ41</f>
        <v>0</v>
      </c>
      <c r="AV24" s="247"/>
      <c r="AW24" s="257">
        <v>1943.0200000000004</v>
      </c>
      <c r="AX24" s="257"/>
      <c r="AY24" s="384">
        <f t="shared" si="25"/>
        <v>1943.0200000000004</v>
      </c>
      <c r="AZ24" s="257">
        <v>5071359.6899999995</v>
      </c>
      <c r="BA24" s="257"/>
      <c r="BB24" s="384">
        <f t="shared" si="26"/>
        <v>5071359.6899999995</v>
      </c>
      <c r="BC24" s="384">
        <f t="shared" si="27"/>
        <v>5073302.709999999</v>
      </c>
      <c r="BD24" s="257">
        <v>19.144109642412026</v>
      </c>
      <c r="BE24" s="257"/>
      <c r="BF24" s="257"/>
      <c r="BG24" s="257"/>
      <c r="BH24" s="742"/>
      <c r="BI24" s="246">
        <f t="shared" si="28"/>
        <v>5073321.8541096412</v>
      </c>
      <c r="BJ24" s="733">
        <f>BI24-BH24-'Schedule 3A_Income Statement'!CR41</f>
        <v>0</v>
      </c>
      <c r="BL24" s="384">
        <f t="shared" si="29"/>
        <v>10448.14</v>
      </c>
      <c r="BM24" s="384">
        <f t="shared" si="0"/>
        <v>0</v>
      </c>
      <c r="BN24" s="384">
        <f t="shared" si="1"/>
        <v>10448.14</v>
      </c>
      <c r="BO24" s="384">
        <f t="shared" si="2"/>
        <v>17813470.079999998</v>
      </c>
      <c r="BP24" s="384">
        <f t="shared" si="3"/>
        <v>0</v>
      </c>
      <c r="BQ24" s="384">
        <f t="shared" si="4"/>
        <v>17813470.079999998</v>
      </c>
      <c r="BR24" s="384">
        <f t="shared" si="5"/>
        <v>17823918.219999999</v>
      </c>
      <c r="BS24" s="384">
        <f t="shared" si="6"/>
        <v>35.928607287307479</v>
      </c>
      <c r="BT24" s="384">
        <f t="shared" si="7"/>
        <v>0</v>
      </c>
      <c r="BU24" s="384">
        <f t="shared" si="8"/>
        <v>0</v>
      </c>
      <c r="BV24" s="384">
        <f t="shared" si="9"/>
        <v>0</v>
      </c>
      <c r="BW24" s="384">
        <f t="shared" si="10"/>
        <v>0</v>
      </c>
      <c r="BX24" s="384">
        <f t="shared" si="11"/>
        <v>17823954.148607284</v>
      </c>
      <c r="BY24" s="384">
        <f t="shared" si="12"/>
        <v>0</v>
      </c>
    </row>
    <row r="25" spans="1:77" s="373" customFormat="1" x14ac:dyDescent="0.25">
      <c r="A25" s="731">
        <v>8</v>
      </c>
      <c r="B25" s="129" t="s">
        <v>239</v>
      </c>
      <c r="C25" s="796" t="s">
        <v>234</v>
      </c>
      <c r="D25" s="257">
        <v>144545.31000000003</v>
      </c>
      <c r="E25" s="257"/>
      <c r="F25" s="384">
        <f t="shared" si="13"/>
        <v>144545.31000000003</v>
      </c>
      <c r="G25" s="257">
        <v>301530.21000000014</v>
      </c>
      <c r="H25" s="257"/>
      <c r="I25" s="384">
        <f t="shared" si="14"/>
        <v>301530.21000000014</v>
      </c>
      <c r="J25" s="384">
        <f t="shared" si="15"/>
        <v>446075.52000000014</v>
      </c>
      <c r="K25" s="257">
        <v>-3.1907094870180166E-10</v>
      </c>
      <c r="L25" s="257"/>
      <c r="M25" s="257"/>
      <c r="N25" s="257"/>
      <c r="O25" s="742"/>
      <c r="P25" s="246">
        <f t="shared" si="16"/>
        <v>446075.51999999984</v>
      </c>
      <c r="Q25" s="733">
        <f>P25-O25-'Schedule 3A_Income Statement'!CO42</f>
        <v>0</v>
      </c>
      <c r="R25" s="247"/>
      <c r="S25" s="257">
        <v>178065.70000000007</v>
      </c>
      <c r="T25" s="257"/>
      <c r="U25" s="384">
        <f t="shared" si="17"/>
        <v>178065.70000000007</v>
      </c>
      <c r="V25" s="257">
        <v>190485.63999999996</v>
      </c>
      <c r="W25" s="257"/>
      <c r="X25" s="384">
        <f t="shared" si="18"/>
        <v>190485.63999999996</v>
      </c>
      <c r="Y25" s="384">
        <f t="shared" si="19"/>
        <v>368551.34</v>
      </c>
      <c r="Z25" s="257">
        <v>127.32551472123853</v>
      </c>
      <c r="AA25" s="257"/>
      <c r="AB25" s="257"/>
      <c r="AC25" s="257"/>
      <c r="AD25" s="742"/>
      <c r="AE25" s="246">
        <f t="shared" si="20"/>
        <v>368678.66551472124</v>
      </c>
      <c r="AF25" s="733">
        <f>AE25-AD25-'Schedule 3A_Income Statement'!CP42</f>
        <v>0</v>
      </c>
      <c r="AG25" s="247"/>
      <c r="AH25" s="257">
        <v>202700.35999999996</v>
      </c>
      <c r="AI25" s="257"/>
      <c r="AJ25" s="384">
        <f t="shared" si="21"/>
        <v>202700.35999999996</v>
      </c>
      <c r="AK25" s="257">
        <v>205979.85</v>
      </c>
      <c r="AL25" s="257"/>
      <c r="AM25" s="384">
        <f t="shared" si="22"/>
        <v>205979.85</v>
      </c>
      <c r="AN25" s="384">
        <f t="shared" si="23"/>
        <v>408680.20999999996</v>
      </c>
      <c r="AO25" s="257">
        <v>899.78469471636299</v>
      </c>
      <c r="AP25" s="257"/>
      <c r="AQ25" s="257"/>
      <c r="AR25" s="257"/>
      <c r="AS25" s="742"/>
      <c r="AT25" s="246">
        <f t="shared" si="24"/>
        <v>409579.9946947163</v>
      </c>
      <c r="AU25" s="733">
        <f>AT25-AS25-'Schedule 3A_Income Statement'!CQ42</f>
        <v>0</v>
      </c>
      <c r="AV25" s="247"/>
      <c r="AW25" s="257">
        <v>206081.19000000009</v>
      </c>
      <c r="AX25" s="257"/>
      <c r="AY25" s="384">
        <f t="shared" si="25"/>
        <v>206081.19000000009</v>
      </c>
      <c r="AZ25" s="257">
        <v>229663.91999999998</v>
      </c>
      <c r="BA25" s="257"/>
      <c r="BB25" s="384">
        <f t="shared" si="26"/>
        <v>229663.91999999998</v>
      </c>
      <c r="BC25" s="384">
        <f t="shared" si="27"/>
        <v>435745.1100000001</v>
      </c>
      <c r="BD25" s="257">
        <v>3015.6061615993499</v>
      </c>
      <c r="BE25" s="257"/>
      <c r="BF25" s="257"/>
      <c r="BG25" s="257"/>
      <c r="BH25" s="742"/>
      <c r="BI25" s="246">
        <f t="shared" si="28"/>
        <v>438760.71616159944</v>
      </c>
      <c r="BJ25" s="733">
        <f>BI25-BH25-'Schedule 3A_Income Statement'!CR42</f>
        <v>0</v>
      </c>
      <c r="BL25" s="384">
        <f t="shared" si="29"/>
        <v>731392.56000000017</v>
      </c>
      <c r="BM25" s="384">
        <f t="shared" si="0"/>
        <v>0</v>
      </c>
      <c r="BN25" s="384">
        <f t="shared" si="1"/>
        <v>731392.56000000017</v>
      </c>
      <c r="BO25" s="384">
        <f t="shared" si="2"/>
        <v>927659.62000000011</v>
      </c>
      <c r="BP25" s="384">
        <f t="shared" si="3"/>
        <v>0</v>
      </c>
      <c r="BQ25" s="384">
        <f t="shared" si="4"/>
        <v>927659.62000000011</v>
      </c>
      <c r="BR25" s="384">
        <f t="shared" si="5"/>
        <v>1659052.1800000002</v>
      </c>
      <c r="BS25" s="384">
        <f t="shared" si="6"/>
        <v>4042.7163710366322</v>
      </c>
      <c r="BT25" s="384">
        <f t="shared" si="7"/>
        <v>0</v>
      </c>
      <c r="BU25" s="384">
        <f t="shared" si="8"/>
        <v>0</v>
      </c>
      <c r="BV25" s="384">
        <f t="shared" si="9"/>
        <v>0</v>
      </c>
      <c r="BW25" s="384">
        <f t="shared" si="10"/>
        <v>0</v>
      </c>
      <c r="BX25" s="384">
        <f t="shared" si="11"/>
        <v>1663094.8963710368</v>
      </c>
      <c r="BY25" s="384">
        <f t="shared" si="12"/>
        <v>0</v>
      </c>
    </row>
    <row r="26" spans="1:77" s="373" customFormat="1" x14ac:dyDescent="0.25">
      <c r="A26" s="730">
        <v>9</v>
      </c>
      <c r="B26" s="690" t="s">
        <v>1417</v>
      </c>
      <c r="C26" s="737" t="s">
        <v>159</v>
      </c>
      <c r="D26" s="257">
        <f>'Schedule 3A_Income Statement'!CJ43</f>
        <v>9227354</v>
      </c>
      <c r="E26" s="257"/>
      <c r="F26" s="384">
        <f t="shared" si="13"/>
        <v>9227354</v>
      </c>
      <c r="G26" s="257">
        <f>'Schedule 3A_Income Statement'!CE43</f>
        <v>0</v>
      </c>
      <c r="H26" s="257"/>
      <c r="I26" s="384">
        <f t="shared" si="14"/>
        <v>0</v>
      </c>
      <c r="J26" s="384">
        <f t="shared" si="15"/>
        <v>9227354</v>
      </c>
      <c r="K26" s="257">
        <f>'Schedule 3A_Income Statement'!CO43-J26</f>
        <v>0</v>
      </c>
      <c r="L26" s="257"/>
      <c r="M26" s="257"/>
      <c r="N26" s="257"/>
      <c r="O26" s="742"/>
      <c r="P26" s="246">
        <f t="shared" si="16"/>
        <v>9227354</v>
      </c>
      <c r="Q26" s="733">
        <f>P26-O26-'Schedule 3A_Income Statement'!CO43</f>
        <v>0</v>
      </c>
      <c r="R26" s="247"/>
      <c r="S26" s="257">
        <f>'Schedule 3A_Income Statement'!CK43</f>
        <v>10304482</v>
      </c>
      <c r="T26" s="257"/>
      <c r="U26" s="384">
        <f t="shared" si="17"/>
        <v>10304482</v>
      </c>
      <c r="V26" s="257">
        <f>'Schedule 3A_Income Statement'!CF43</f>
        <v>0</v>
      </c>
      <c r="W26" s="257"/>
      <c r="X26" s="384">
        <f t="shared" si="18"/>
        <v>0</v>
      </c>
      <c r="Y26" s="384">
        <f t="shared" si="19"/>
        <v>10304482</v>
      </c>
      <c r="Z26" s="257">
        <f>'Schedule 3A_Income Statement'!CP43-Y26</f>
        <v>0</v>
      </c>
      <c r="AA26" s="257"/>
      <c r="AB26" s="257"/>
      <c r="AC26" s="257"/>
      <c r="AD26" s="742"/>
      <c r="AE26" s="246">
        <f t="shared" si="20"/>
        <v>10304482</v>
      </c>
      <c r="AF26" s="733">
        <f>AE26-AD26-'Schedule 3A_Income Statement'!CP43</f>
        <v>0</v>
      </c>
      <c r="AG26" s="247"/>
      <c r="AH26" s="257">
        <f>'Schedule 3A_Income Statement'!CL43</f>
        <v>11987026</v>
      </c>
      <c r="AI26" s="257"/>
      <c r="AJ26" s="384">
        <f t="shared" si="21"/>
        <v>11987026</v>
      </c>
      <c r="AK26" s="257">
        <f>'Schedule 3A_Income Statement'!CG43</f>
        <v>0</v>
      </c>
      <c r="AL26" s="257"/>
      <c r="AM26" s="384">
        <f t="shared" si="22"/>
        <v>0</v>
      </c>
      <c r="AN26" s="384">
        <f t="shared" si="23"/>
        <v>11987026</v>
      </c>
      <c r="AO26" s="257"/>
      <c r="AP26" s="257"/>
      <c r="AQ26" s="257"/>
      <c r="AR26" s="257"/>
      <c r="AS26" s="742"/>
      <c r="AT26" s="246">
        <f t="shared" si="24"/>
        <v>11987026</v>
      </c>
      <c r="AU26" s="733">
        <f>AT26-AS26-'Schedule 3A_Income Statement'!CQ43</f>
        <v>0</v>
      </c>
      <c r="AV26" s="247"/>
      <c r="AW26" s="257">
        <f>'Schedule 3A_Income Statement'!CM43</f>
        <v>12730410</v>
      </c>
      <c r="AX26" s="257"/>
      <c r="AY26" s="384">
        <f t="shared" si="25"/>
        <v>12730410</v>
      </c>
      <c r="AZ26" s="257">
        <f>'Schedule 3A_Income Statement'!CH43</f>
        <v>0</v>
      </c>
      <c r="BA26" s="257"/>
      <c r="BB26" s="384">
        <f t="shared" si="26"/>
        <v>0</v>
      </c>
      <c r="BC26" s="384">
        <f t="shared" si="27"/>
        <v>12730410</v>
      </c>
      <c r="BD26" s="257"/>
      <c r="BE26" s="257"/>
      <c r="BF26" s="257"/>
      <c r="BG26" s="257"/>
      <c r="BH26" s="742"/>
      <c r="BI26" s="246">
        <f t="shared" si="28"/>
        <v>12730410</v>
      </c>
      <c r="BJ26" s="733">
        <f>BI26-BH26-'Schedule 3A_Income Statement'!CR43</f>
        <v>0</v>
      </c>
      <c r="BL26" s="384">
        <f t="shared" si="29"/>
        <v>44249272</v>
      </c>
      <c r="BM26" s="384">
        <f t="shared" si="0"/>
        <v>0</v>
      </c>
      <c r="BN26" s="384">
        <f t="shared" si="1"/>
        <v>44249272</v>
      </c>
      <c r="BO26" s="384">
        <f t="shared" si="2"/>
        <v>0</v>
      </c>
      <c r="BP26" s="384">
        <f t="shared" si="3"/>
        <v>0</v>
      </c>
      <c r="BQ26" s="384">
        <f t="shared" si="4"/>
        <v>0</v>
      </c>
      <c r="BR26" s="384">
        <f t="shared" si="5"/>
        <v>44249272</v>
      </c>
      <c r="BS26" s="384">
        <f t="shared" si="6"/>
        <v>0</v>
      </c>
      <c r="BT26" s="384">
        <f t="shared" si="7"/>
        <v>0</v>
      </c>
      <c r="BU26" s="384">
        <f t="shared" si="8"/>
        <v>0</v>
      </c>
      <c r="BV26" s="384">
        <f t="shared" si="9"/>
        <v>0</v>
      </c>
      <c r="BW26" s="384">
        <f t="shared" si="10"/>
        <v>0</v>
      </c>
      <c r="BX26" s="384">
        <f t="shared" si="11"/>
        <v>44249272</v>
      </c>
      <c r="BY26" s="384">
        <f t="shared" si="12"/>
        <v>0</v>
      </c>
    </row>
    <row r="27" spans="1:77" s="373" customFormat="1" x14ac:dyDescent="0.25">
      <c r="A27" s="731" t="s">
        <v>1352</v>
      </c>
      <c r="B27" s="690" t="s">
        <v>1348</v>
      </c>
      <c r="C27" s="741" t="s">
        <v>159</v>
      </c>
      <c r="D27" s="257">
        <f>'Schedule 3A_Income Statement'!CJ44</f>
        <v>8804503.5299998876</v>
      </c>
      <c r="E27" s="257"/>
      <c r="F27" s="384">
        <f t="shared" si="13"/>
        <v>8804503.5299998876</v>
      </c>
      <c r="G27" s="257">
        <f>'Schedule 3A_Income Statement'!CE44</f>
        <v>2547700.83</v>
      </c>
      <c r="H27" s="257"/>
      <c r="I27" s="384">
        <f t="shared" si="14"/>
        <v>2547700.83</v>
      </c>
      <c r="J27" s="384">
        <f t="shared" si="15"/>
        <v>11352204.359999888</v>
      </c>
      <c r="K27" s="257">
        <f>'Schedule 3A_Income Statement'!CO44-J27</f>
        <v>0</v>
      </c>
      <c r="L27" s="257"/>
      <c r="M27" s="257"/>
      <c r="N27" s="257"/>
      <c r="O27" s="742"/>
      <c r="P27" s="246">
        <f t="shared" si="16"/>
        <v>11352204.359999888</v>
      </c>
      <c r="Q27" s="733">
        <f>P27-O27-'Schedule 3A_Income Statement'!CO44</f>
        <v>0</v>
      </c>
      <c r="R27" s="247"/>
      <c r="S27" s="257">
        <f>'Schedule 3A_Income Statement'!CK44</f>
        <v>8452184.0028161574</v>
      </c>
      <c r="T27" s="257"/>
      <c r="U27" s="384">
        <f t="shared" si="17"/>
        <v>8452184.0028161574</v>
      </c>
      <c r="V27" s="257">
        <f>'Schedule 3A_Income Statement'!CF44</f>
        <v>3041643.9606317217</v>
      </c>
      <c r="W27" s="257"/>
      <c r="X27" s="384">
        <f t="shared" si="18"/>
        <v>3041643.9606317217</v>
      </c>
      <c r="Y27" s="384">
        <f t="shared" si="19"/>
        <v>11493827.96344788</v>
      </c>
      <c r="Z27" s="257">
        <f>'Schedule 3A_Income Statement'!CP44-Y27</f>
        <v>0</v>
      </c>
      <c r="AA27" s="257"/>
      <c r="AB27" s="257"/>
      <c r="AC27" s="257"/>
      <c r="AD27" s="742"/>
      <c r="AE27" s="246">
        <f t="shared" si="20"/>
        <v>11493827.96344788</v>
      </c>
      <c r="AF27" s="733">
        <f>AE27-AD27-'Schedule 3A_Income Statement'!CP44</f>
        <v>0</v>
      </c>
      <c r="AG27" s="247"/>
      <c r="AH27" s="257">
        <f>'Schedule 3A_Income Statement'!CL44</f>
        <v>8264121.5598702496</v>
      </c>
      <c r="AI27" s="257"/>
      <c r="AJ27" s="384">
        <f t="shared" si="21"/>
        <v>8264121.5598702496</v>
      </c>
      <c r="AK27" s="257">
        <f>'Schedule 3A_Income Statement'!CG44</f>
        <v>3234529.0781720323</v>
      </c>
      <c r="AL27" s="257"/>
      <c r="AM27" s="384">
        <f t="shared" si="22"/>
        <v>3234529.0781720323</v>
      </c>
      <c r="AN27" s="384">
        <f t="shared" si="23"/>
        <v>11498650.638042282</v>
      </c>
      <c r="AO27" s="257"/>
      <c r="AP27" s="257"/>
      <c r="AQ27" s="257"/>
      <c r="AR27" s="257"/>
      <c r="AS27" s="742"/>
      <c r="AT27" s="246">
        <f t="shared" si="24"/>
        <v>11498650.638042282</v>
      </c>
      <c r="AU27" s="733">
        <f>AT27-AS27-'Schedule 3A_Income Statement'!CQ44</f>
        <v>0</v>
      </c>
      <c r="AV27" s="247"/>
      <c r="AW27" s="257">
        <f>'Schedule 3A_Income Statement'!CM44</f>
        <v>8525704.4614441153</v>
      </c>
      <c r="AX27" s="257"/>
      <c r="AY27" s="384">
        <f t="shared" si="25"/>
        <v>8525704.4614441153</v>
      </c>
      <c r="AZ27" s="257">
        <f>'Schedule 3A_Income Statement'!CH44</f>
        <v>3456945.5709154564</v>
      </c>
      <c r="BA27" s="257"/>
      <c r="BB27" s="384">
        <f t="shared" si="26"/>
        <v>3456945.5709154564</v>
      </c>
      <c r="BC27" s="384">
        <f t="shared" si="27"/>
        <v>11982650.032359572</v>
      </c>
      <c r="BD27" s="257"/>
      <c r="BE27" s="257"/>
      <c r="BF27" s="257"/>
      <c r="BG27" s="257"/>
      <c r="BH27" s="742"/>
      <c r="BI27" s="246">
        <f t="shared" si="28"/>
        <v>11982650.032359572</v>
      </c>
      <c r="BJ27" s="733">
        <f>BI27-BH27-'Schedule 3A_Income Statement'!CR44</f>
        <v>0</v>
      </c>
      <c r="BL27" s="384">
        <f t="shared" si="29"/>
        <v>34046513.554130413</v>
      </c>
      <c r="BM27" s="384">
        <f t="shared" si="0"/>
        <v>0</v>
      </c>
      <c r="BN27" s="384">
        <f t="shared" si="1"/>
        <v>34046513.554130413</v>
      </c>
      <c r="BO27" s="384">
        <f t="shared" si="2"/>
        <v>12280819.439719211</v>
      </c>
      <c r="BP27" s="384">
        <f t="shared" si="3"/>
        <v>0</v>
      </c>
      <c r="BQ27" s="384">
        <f t="shared" si="4"/>
        <v>12280819.439719211</v>
      </c>
      <c r="BR27" s="384">
        <f t="shared" si="5"/>
        <v>46327332.99384962</v>
      </c>
      <c r="BS27" s="384">
        <f t="shared" si="6"/>
        <v>0</v>
      </c>
      <c r="BT27" s="384">
        <f t="shared" si="7"/>
        <v>0</v>
      </c>
      <c r="BU27" s="384">
        <f t="shared" si="8"/>
        <v>0</v>
      </c>
      <c r="BV27" s="384">
        <f t="shared" si="9"/>
        <v>0</v>
      </c>
      <c r="BW27" s="384">
        <f t="shared" si="10"/>
        <v>0</v>
      </c>
      <c r="BX27" s="384">
        <f t="shared" si="11"/>
        <v>46327332.99384962</v>
      </c>
      <c r="BY27" s="384">
        <f t="shared" si="12"/>
        <v>0</v>
      </c>
    </row>
    <row r="28" spans="1:77" s="373" customFormat="1" x14ac:dyDescent="0.25">
      <c r="A28" s="731" t="s">
        <v>1353</v>
      </c>
      <c r="B28" s="688" t="s">
        <v>1349</v>
      </c>
      <c r="C28" s="741" t="s">
        <v>1416</v>
      </c>
      <c r="D28" s="257">
        <f>'Schedule 3A_Income Statement'!CJ45</f>
        <v>3408155.8304850915</v>
      </c>
      <c r="E28" s="257"/>
      <c r="F28" s="384">
        <f t="shared" si="13"/>
        <v>3408155.8304850915</v>
      </c>
      <c r="G28" s="257">
        <f>'Schedule 3A_Income Statement'!CE45</f>
        <v>1856126.4466179083</v>
      </c>
      <c r="H28" s="257"/>
      <c r="I28" s="384">
        <f t="shared" si="14"/>
        <v>1856126.4466179083</v>
      </c>
      <c r="J28" s="384">
        <f t="shared" si="15"/>
        <v>5264282.2771029994</v>
      </c>
      <c r="K28" s="257">
        <f>'Schedule 3A_Income Statement'!CO45-J28</f>
        <v>0</v>
      </c>
      <c r="L28" s="257"/>
      <c r="M28" s="257"/>
      <c r="N28" s="257"/>
      <c r="O28" s="742"/>
      <c r="P28" s="246">
        <f t="shared" si="16"/>
        <v>5264282.2771029994</v>
      </c>
      <c r="Q28" s="733">
        <f>P28-O28-'Schedule 3A_Income Statement'!CO45</f>
        <v>0</v>
      </c>
      <c r="R28" s="247"/>
      <c r="S28" s="257">
        <f>'Schedule 3A_Income Statement'!CK45</f>
        <v>3055836.3033013381</v>
      </c>
      <c r="T28" s="257"/>
      <c r="U28" s="384">
        <f t="shared" si="17"/>
        <v>3055836.3033013381</v>
      </c>
      <c r="V28" s="257">
        <f>'Schedule 3A_Income Statement'!CF45</f>
        <v>2346722.2486391962</v>
      </c>
      <c r="W28" s="257"/>
      <c r="X28" s="384">
        <f t="shared" si="18"/>
        <v>2346722.2486391962</v>
      </c>
      <c r="Y28" s="384">
        <f t="shared" si="19"/>
        <v>5402558.5519405343</v>
      </c>
      <c r="Z28" s="257">
        <f>'Schedule 3A_Income Statement'!CP45-Y28</f>
        <v>0</v>
      </c>
      <c r="AA28" s="257"/>
      <c r="AB28" s="257"/>
      <c r="AC28" s="257"/>
      <c r="AD28" s="742"/>
      <c r="AE28" s="246">
        <f t="shared" si="20"/>
        <v>5402558.5519405343</v>
      </c>
      <c r="AF28" s="733">
        <f>AE28-AD28-'Schedule 3A_Income Statement'!CP45</f>
        <v>0</v>
      </c>
      <c r="AG28" s="247"/>
      <c r="AH28" s="257">
        <f>'Schedule 3A_Income Statement'!CL45</f>
        <v>2867773.8603555174</v>
      </c>
      <c r="AI28" s="257"/>
      <c r="AJ28" s="384">
        <f t="shared" si="21"/>
        <v>2867773.8603555174</v>
      </c>
      <c r="AK28" s="257">
        <f>'Schedule 3A_Income Statement'!CG45</f>
        <v>2554549.1722479956</v>
      </c>
      <c r="AL28" s="257"/>
      <c r="AM28" s="384">
        <f t="shared" si="22"/>
        <v>2554549.1722479956</v>
      </c>
      <c r="AN28" s="384">
        <f t="shared" si="23"/>
        <v>5422323.0326035134</v>
      </c>
      <c r="AO28" s="257"/>
      <c r="AP28" s="257"/>
      <c r="AQ28" s="257"/>
      <c r="AR28" s="257"/>
      <c r="AS28" s="742"/>
      <c r="AT28" s="246">
        <f t="shared" si="24"/>
        <v>5422323.0326035134</v>
      </c>
      <c r="AU28" s="733">
        <f>AT28-AS28-'Schedule 3A_Income Statement'!CQ45</f>
        <v>0</v>
      </c>
      <c r="AV28" s="247"/>
      <c r="AW28" s="257">
        <f>'Schedule 3A_Income Statement'!CM45</f>
        <v>3129356.7619293053</v>
      </c>
      <c r="AX28" s="257"/>
      <c r="AY28" s="384">
        <f t="shared" si="25"/>
        <v>3129356.7619293053</v>
      </c>
      <c r="AZ28" s="257">
        <f>'Schedule 3A_Income Statement'!CH45</f>
        <v>2778094.2141527268</v>
      </c>
      <c r="BA28" s="257"/>
      <c r="BB28" s="384">
        <f t="shared" si="26"/>
        <v>2778094.2141527268</v>
      </c>
      <c r="BC28" s="384">
        <f t="shared" si="27"/>
        <v>5907450.9760820325</v>
      </c>
      <c r="BD28" s="257"/>
      <c r="BE28" s="257"/>
      <c r="BF28" s="257"/>
      <c r="BG28" s="257"/>
      <c r="BH28" s="742"/>
      <c r="BI28" s="246">
        <f t="shared" si="28"/>
        <v>5907450.9760820325</v>
      </c>
      <c r="BJ28" s="733">
        <f>BI28-BH28-'Schedule 3A_Income Statement'!CR45</f>
        <v>0</v>
      </c>
      <c r="BL28" s="384">
        <f t="shared" si="29"/>
        <v>12461122.756071253</v>
      </c>
      <c r="BM28" s="384">
        <f t="shared" si="0"/>
        <v>0</v>
      </c>
      <c r="BN28" s="384">
        <f t="shared" si="1"/>
        <v>12461122.756071253</v>
      </c>
      <c r="BO28" s="384">
        <f t="shared" si="2"/>
        <v>9535492.0816578269</v>
      </c>
      <c r="BP28" s="384">
        <f t="shared" si="3"/>
        <v>0</v>
      </c>
      <c r="BQ28" s="384">
        <f t="shared" si="4"/>
        <v>9535492.0816578269</v>
      </c>
      <c r="BR28" s="384">
        <f t="shared" si="5"/>
        <v>21996614.837729082</v>
      </c>
      <c r="BS28" s="384">
        <f t="shared" si="6"/>
        <v>0</v>
      </c>
      <c r="BT28" s="384">
        <f t="shared" si="7"/>
        <v>0</v>
      </c>
      <c r="BU28" s="384">
        <f t="shared" si="8"/>
        <v>0</v>
      </c>
      <c r="BV28" s="384">
        <f t="shared" si="9"/>
        <v>0</v>
      </c>
      <c r="BW28" s="384">
        <f t="shared" si="10"/>
        <v>0</v>
      </c>
      <c r="BX28" s="384">
        <f t="shared" si="11"/>
        <v>21996614.837729082</v>
      </c>
      <c r="BY28" s="384">
        <f t="shared" si="12"/>
        <v>0</v>
      </c>
    </row>
    <row r="29" spans="1:77" s="373" customFormat="1" x14ac:dyDescent="0.25">
      <c r="A29" s="731" t="s">
        <v>1354</v>
      </c>
      <c r="B29" s="688" t="s">
        <v>1350</v>
      </c>
      <c r="C29" s="741" t="s">
        <v>159</v>
      </c>
      <c r="D29" s="257">
        <f>'Schedule 3A_Income Statement'!CJ46</f>
        <v>536540.70999999961</v>
      </c>
      <c r="E29" s="257"/>
      <c r="F29" s="384">
        <f t="shared" si="13"/>
        <v>536540.70999999961</v>
      </c>
      <c r="G29" s="257">
        <f>'Schedule 3A_Income Statement'!CE46</f>
        <v>56084.880000000026</v>
      </c>
      <c r="H29" s="257"/>
      <c r="I29" s="384">
        <f t="shared" si="14"/>
        <v>56084.880000000026</v>
      </c>
      <c r="J29" s="384">
        <f t="shared" si="15"/>
        <v>592625.58999999962</v>
      </c>
      <c r="K29" s="257">
        <f>'Schedule 3A_Income Statement'!CO46-J29</f>
        <v>0</v>
      </c>
      <c r="L29" s="257"/>
      <c r="M29" s="257"/>
      <c r="N29" s="257"/>
      <c r="O29" s="742"/>
      <c r="P29" s="246">
        <f t="shared" si="16"/>
        <v>592625.58999999962</v>
      </c>
      <c r="Q29" s="733">
        <f>P29-O29-'Schedule 3A_Income Statement'!CO46</f>
        <v>0</v>
      </c>
      <c r="R29" s="247"/>
      <c r="S29" s="257">
        <f>'Schedule 3A_Income Statement'!CK46</f>
        <v>537494.22000000009</v>
      </c>
      <c r="T29" s="257"/>
      <c r="U29" s="384">
        <f t="shared" si="17"/>
        <v>537494.22000000009</v>
      </c>
      <c r="V29" s="257">
        <f>'Schedule 3A_Income Statement'!CF46</f>
        <v>48231.960000000006</v>
      </c>
      <c r="W29" s="257"/>
      <c r="X29" s="384">
        <f t="shared" si="18"/>
        <v>48231.960000000006</v>
      </c>
      <c r="Y29" s="384">
        <f t="shared" si="19"/>
        <v>585726.18000000005</v>
      </c>
      <c r="Z29" s="257">
        <f>'Schedule 3A_Income Statement'!CP46-Y29</f>
        <v>0</v>
      </c>
      <c r="AA29" s="257"/>
      <c r="AB29" s="257"/>
      <c r="AC29" s="257"/>
      <c r="AD29" s="742"/>
      <c r="AE29" s="246">
        <f t="shared" si="20"/>
        <v>585726.18000000005</v>
      </c>
      <c r="AF29" s="733">
        <f>AE29-AD29-'Schedule 3A_Income Statement'!CP46</f>
        <v>0</v>
      </c>
      <c r="AG29" s="247"/>
      <c r="AH29" s="257">
        <f>'Schedule 3A_Income Statement'!CL46</f>
        <v>841728.5600000046</v>
      </c>
      <c r="AI29" s="257"/>
      <c r="AJ29" s="384">
        <f t="shared" si="21"/>
        <v>841728.5600000046</v>
      </c>
      <c r="AK29" s="257">
        <f>'Schedule 3A_Income Statement'!CG46</f>
        <v>127492.50999999956</v>
      </c>
      <c r="AL29" s="257"/>
      <c r="AM29" s="384">
        <f t="shared" si="22"/>
        <v>127492.50999999956</v>
      </c>
      <c r="AN29" s="384">
        <f t="shared" si="23"/>
        <v>969221.07000000414</v>
      </c>
      <c r="AO29" s="257"/>
      <c r="AP29" s="257"/>
      <c r="AQ29" s="257"/>
      <c r="AR29" s="257"/>
      <c r="AS29" s="742"/>
      <c r="AT29" s="246">
        <f t="shared" si="24"/>
        <v>969221.07000000414</v>
      </c>
      <c r="AU29" s="733">
        <f>AT29-AS29-'Schedule 3A_Income Statement'!CQ46</f>
        <v>0</v>
      </c>
      <c r="AV29" s="247"/>
      <c r="AW29" s="257">
        <f>'Schedule 3A_Income Statement'!CM46</f>
        <v>921125.44999999891</v>
      </c>
      <c r="AX29" s="257"/>
      <c r="AY29" s="384">
        <f t="shared" si="25"/>
        <v>921125.44999999891</v>
      </c>
      <c r="AZ29" s="257">
        <f>'Schedule 3A_Income Statement'!CH46</f>
        <v>142228.4099999998</v>
      </c>
      <c r="BA29" s="257"/>
      <c r="BB29" s="384">
        <f t="shared" si="26"/>
        <v>142228.4099999998</v>
      </c>
      <c r="BC29" s="384">
        <f t="shared" si="27"/>
        <v>1063353.8599999987</v>
      </c>
      <c r="BD29" s="257"/>
      <c r="BE29" s="257"/>
      <c r="BF29" s="257"/>
      <c r="BG29" s="257"/>
      <c r="BH29" s="742"/>
      <c r="BI29" s="246">
        <f t="shared" si="28"/>
        <v>1063353.8599999987</v>
      </c>
      <c r="BJ29" s="733">
        <f>BI29-BH29-'Schedule 3A_Income Statement'!CR46</f>
        <v>0</v>
      </c>
      <c r="BL29" s="384">
        <f t="shared" si="29"/>
        <v>2836888.9400000032</v>
      </c>
      <c r="BM29" s="384">
        <f t="shared" si="0"/>
        <v>0</v>
      </c>
      <c r="BN29" s="384">
        <f t="shared" si="1"/>
        <v>2836888.9400000032</v>
      </c>
      <c r="BO29" s="384">
        <f t="shared" si="2"/>
        <v>374037.75999999937</v>
      </c>
      <c r="BP29" s="384">
        <f t="shared" si="3"/>
        <v>0</v>
      </c>
      <c r="BQ29" s="384">
        <f t="shared" si="4"/>
        <v>374037.75999999937</v>
      </c>
      <c r="BR29" s="384">
        <f t="shared" si="5"/>
        <v>3210926.700000002</v>
      </c>
      <c r="BS29" s="384">
        <f t="shared" si="6"/>
        <v>0</v>
      </c>
      <c r="BT29" s="384">
        <f t="shared" si="7"/>
        <v>0</v>
      </c>
      <c r="BU29" s="384">
        <f t="shared" si="8"/>
        <v>0</v>
      </c>
      <c r="BV29" s="384">
        <f t="shared" si="9"/>
        <v>0</v>
      </c>
      <c r="BW29" s="384">
        <f t="shared" si="10"/>
        <v>0</v>
      </c>
      <c r="BX29" s="384">
        <f t="shared" si="11"/>
        <v>3210926.700000002</v>
      </c>
      <c r="BY29" s="384">
        <f t="shared" si="12"/>
        <v>0</v>
      </c>
    </row>
    <row r="30" spans="1:77" s="373" customFormat="1" x14ac:dyDescent="0.25">
      <c r="A30" s="731" t="s">
        <v>1355</v>
      </c>
      <c r="B30" s="688" t="s">
        <v>1351</v>
      </c>
      <c r="C30" s="741" t="s">
        <v>1416</v>
      </c>
      <c r="D30" s="257">
        <f>'Schedule 3A_Income Statement'!CJ47</f>
        <v>356757.72851048544</v>
      </c>
      <c r="E30" s="257"/>
      <c r="F30" s="384">
        <f t="shared" si="13"/>
        <v>356757.72851048544</v>
      </c>
      <c r="G30" s="257">
        <f>'Schedule 3A_Income Statement'!CE47</f>
        <v>40860.560932239998</v>
      </c>
      <c r="H30" s="257"/>
      <c r="I30" s="384">
        <f t="shared" si="14"/>
        <v>40860.560932239998</v>
      </c>
      <c r="J30" s="384">
        <f t="shared" si="15"/>
        <v>397618.28944272542</v>
      </c>
      <c r="K30" s="257">
        <f>'Schedule 3A_Income Statement'!CO47-J30</f>
        <v>0</v>
      </c>
      <c r="L30" s="257"/>
      <c r="M30" s="257"/>
      <c r="N30" s="257"/>
      <c r="O30" s="742"/>
      <c r="P30" s="246">
        <f t="shared" si="16"/>
        <v>397618.28944272542</v>
      </c>
      <c r="Q30" s="733">
        <f>P30-O30-'Schedule 3A_Income Statement'!CO47</f>
        <v>0</v>
      </c>
      <c r="R30" s="247"/>
      <c r="S30" s="257">
        <f>'Schedule 3A_Income Statement'!CK47</f>
        <v>357711.23851048615</v>
      </c>
      <c r="T30" s="257"/>
      <c r="U30" s="384">
        <f t="shared" si="17"/>
        <v>357711.23851048615</v>
      </c>
      <c r="V30" s="257">
        <f>'Schedule 3A_Income Statement'!CF47</f>
        <v>36354.969542674618</v>
      </c>
      <c r="W30" s="257"/>
      <c r="X30" s="384">
        <f t="shared" si="18"/>
        <v>36354.969542674618</v>
      </c>
      <c r="Y30" s="384">
        <f t="shared" si="19"/>
        <v>394066.20805316075</v>
      </c>
      <c r="Z30" s="257">
        <f>'Schedule 3A_Income Statement'!CP47-Y30</f>
        <v>0</v>
      </c>
      <c r="AA30" s="257"/>
      <c r="AB30" s="257"/>
      <c r="AC30" s="257"/>
      <c r="AD30" s="742"/>
      <c r="AE30" s="246">
        <f t="shared" si="20"/>
        <v>394066.20805316075</v>
      </c>
      <c r="AF30" s="733">
        <f>AE30-AD30-'Schedule 3A_Income Statement'!CP47</f>
        <v>0</v>
      </c>
      <c r="AG30" s="247"/>
      <c r="AH30" s="257">
        <f>'Schedule 3A_Income Statement'!CL47</f>
        <v>661945.57851049199</v>
      </c>
      <c r="AI30" s="257"/>
      <c r="AJ30" s="384">
        <f t="shared" si="21"/>
        <v>661945.57851049199</v>
      </c>
      <c r="AK30" s="257">
        <f>'Schedule 3A_Income Statement'!CG47</f>
        <v>100673.71347419023</v>
      </c>
      <c r="AL30" s="257"/>
      <c r="AM30" s="384">
        <f t="shared" si="22"/>
        <v>100673.71347419023</v>
      </c>
      <c r="AN30" s="384">
        <f t="shared" si="23"/>
        <v>762619.2919846822</v>
      </c>
      <c r="AO30" s="257"/>
      <c r="AP30" s="257"/>
      <c r="AQ30" s="257"/>
      <c r="AR30" s="257"/>
      <c r="AS30" s="742"/>
      <c r="AT30" s="246">
        <f t="shared" si="24"/>
        <v>762619.2919846822</v>
      </c>
      <c r="AU30" s="733">
        <f>AT30-AS30-'Schedule 3A_Income Statement'!CQ47</f>
        <v>0</v>
      </c>
      <c r="AV30" s="247"/>
      <c r="AW30" s="257">
        <f>'Schedule 3A_Income Statement'!CM47</f>
        <v>741342.46851048945</v>
      </c>
      <c r="AX30" s="257"/>
      <c r="AY30" s="384">
        <f t="shared" si="25"/>
        <v>741342.46851048945</v>
      </c>
      <c r="AZ30" s="257">
        <f>'Schedule 3A_Income Statement'!CH47</f>
        <v>114281.06431288493</v>
      </c>
      <c r="BA30" s="257"/>
      <c r="BB30" s="384">
        <f t="shared" si="26"/>
        <v>114281.06431288493</v>
      </c>
      <c r="BC30" s="384">
        <f t="shared" si="27"/>
        <v>855623.53282337438</v>
      </c>
      <c r="BD30" s="257"/>
      <c r="BE30" s="257"/>
      <c r="BF30" s="257"/>
      <c r="BG30" s="257"/>
      <c r="BH30" s="742"/>
      <c r="BI30" s="246">
        <f t="shared" si="28"/>
        <v>855623.53282337438</v>
      </c>
      <c r="BJ30" s="733">
        <f>BI30-BH30-'Schedule 3A_Income Statement'!CR47</f>
        <v>0</v>
      </c>
      <c r="BL30" s="384">
        <f t="shared" si="29"/>
        <v>2117757.0140419528</v>
      </c>
      <c r="BM30" s="384">
        <f t="shared" si="0"/>
        <v>0</v>
      </c>
      <c r="BN30" s="384">
        <f t="shared" si="1"/>
        <v>2117757.0140419528</v>
      </c>
      <c r="BO30" s="384">
        <f t="shared" si="2"/>
        <v>292170.30826198979</v>
      </c>
      <c r="BP30" s="384">
        <f t="shared" si="3"/>
        <v>0</v>
      </c>
      <c r="BQ30" s="384">
        <f t="shared" si="4"/>
        <v>292170.30826198979</v>
      </c>
      <c r="BR30" s="384">
        <f t="shared" si="5"/>
        <v>2409927.3223039429</v>
      </c>
      <c r="BS30" s="384">
        <f t="shared" si="6"/>
        <v>0</v>
      </c>
      <c r="BT30" s="384">
        <f t="shared" si="7"/>
        <v>0</v>
      </c>
      <c r="BU30" s="384">
        <f t="shared" si="8"/>
        <v>0</v>
      </c>
      <c r="BV30" s="384">
        <f t="shared" si="9"/>
        <v>0</v>
      </c>
      <c r="BW30" s="384">
        <f t="shared" si="10"/>
        <v>0</v>
      </c>
      <c r="BX30" s="384">
        <f t="shared" si="11"/>
        <v>2409927.3223039429</v>
      </c>
      <c r="BY30" s="384">
        <f t="shared" si="12"/>
        <v>0</v>
      </c>
    </row>
    <row r="31" spans="1:77" s="373" customFormat="1" x14ac:dyDescent="0.25">
      <c r="A31" s="730">
        <v>12</v>
      </c>
      <c r="B31" s="129" t="s">
        <v>228</v>
      </c>
      <c r="C31" s="721" t="s">
        <v>203</v>
      </c>
      <c r="D31" s="257">
        <v>512092.5199999999</v>
      </c>
      <c r="E31" s="257"/>
      <c r="F31" s="384">
        <f t="shared" si="13"/>
        <v>512092.5199999999</v>
      </c>
      <c r="G31" s="257">
        <v>161849.71000000002</v>
      </c>
      <c r="H31" s="257"/>
      <c r="I31" s="384">
        <f t="shared" si="14"/>
        <v>161849.71000000002</v>
      </c>
      <c r="J31" s="384">
        <f t="shared" si="15"/>
        <v>673942.23</v>
      </c>
      <c r="K31" s="257">
        <v>-1.9849874083079398E-10</v>
      </c>
      <c r="L31" s="257"/>
      <c r="M31" s="257"/>
      <c r="N31" s="257"/>
      <c r="O31" s="742"/>
      <c r="P31" s="246">
        <f t="shared" si="16"/>
        <v>673942.22999999975</v>
      </c>
      <c r="Q31" s="733">
        <f>P31-O31-'Schedule 3A_Income Statement'!CO48</f>
        <v>0</v>
      </c>
      <c r="R31" s="247"/>
      <c r="S31" s="257">
        <v>554869.38</v>
      </c>
      <c r="T31" s="257"/>
      <c r="U31" s="384">
        <f t="shared" si="17"/>
        <v>554869.38</v>
      </c>
      <c r="V31" s="257">
        <v>182930.18</v>
      </c>
      <c r="W31" s="257"/>
      <c r="X31" s="384">
        <f t="shared" si="18"/>
        <v>182930.18</v>
      </c>
      <c r="Y31" s="384">
        <f t="shared" si="19"/>
        <v>737799.56</v>
      </c>
      <c r="Z31" s="257">
        <v>353.92995400568799</v>
      </c>
      <c r="AA31" s="257"/>
      <c r="AB31" s="257"/>
      <c r="AC31" s="257"/>
      <c r="AD31" s="742"/>
      <c r="AE31" s="246">
        <f t="shared" si="20"/>
        <v>738153.48995400569</v>
      </c>
      <c r="AF31" s="733">
        <f>AE31-AD31-'Schedule 3A_Income Statement'!CP48</f>
        <v>0</v>
      </c>
      <c r="AG31" s="247"/>
      <c r="AH31" s="257">
        <v>580650.27000000025</v>
      </c>
      <c r="AI31" s="257"/>
      <c r="AJ31" s="384">
        <f t="shared" si="21"/>
        <v>580650.27000000025</v>
      </c>
      <c r="AK31" s="257">
        <v>174180.87000000002</v>
      </c>
      <c r="AL31" s="257"/>
      <c r="AM31" s="384">
        <f t="shared" si="22"/>
        <v>174180.87000000002</v>
      </c>
      <c r="AN31" s="384">
        <f t="shared" si="23"/>
        <v>754831.14000000025</v>
      </c>
      <c r="AO31" s="257">
        <v>2011.5082930034207</v>
      </c>
      <c r="AP31" s="257"/>
      <c r="AQ31" s="257"/>
      <c r="AR31" s="257"/>
      <c r="AS31" s="742"/>
      <c r="AT31" s="246">
        <f t="shared" si="24"/>
        <v>756842.64829300367</v>
      </c>
      <c r="AU31" s="733">
        <f>AT31-AS31-'Schedule 3A_Income Statement'!CQ48</f>
        <v>0</v>
      </c>
      <c r="AV31" s="247"/>
      <c r="AW31" s="257">
        <v>610748.9700000002</v>
      </c>
      <c r="AX31" s="257"/>
      <c r="AY31" s="384">
        <f t="shared" si="25"/>
        <v>610748.9700000002</v>
      </c>
      <c r="AZ31" s="257">
        <v>171616.29999999996</v>
      </c>
      <c r="BA31" s="257"/>
      <c r="BB31" s="384">
        <f t="shared" si="26"/>
        <v>171616.29999999996</v>
      </c>
      <c r="BC31" s="384">
        <f t="shared" si="27"/>
        <v>782365.27000000014</v>
      </c>
      <c r="BD31" s="257">
        <v>6168.6650510430609</v>
      </c>
      <c r="BE31" s="257"/>
      <c r="BF31" s="257"/>
      <c r="BG31" s="257"/>
      <c r="BH31" s="742"/>
      <c r="BI31" s="246">
        <f t="shared" si="28"/>
        <v>788533.93505104317</v>
      </c>
      <c r="BJ31" s="733">
        <f>BI31-BH31-'Schedule 3A_Income Statement'!CR48</f>
        <v>0</v>
      </c>
      <c r="BL31" s="384">
        <f t="shared" si="29"/>
        <v>2258361.1400000006</v>
      </c>
      <c r="BM31" s="384">
        <f t="shared" si="0"/>
        <v>0</v>
      </c>
      <c r="BN31" s="384">
        <f t="shared" si="1"/>
        <v>2258361.1400000006</v>
      </c>
      <c r="BO31" s="384">
        <f t="shared" si="2"/>
        <v>690577.05999999994</v>
      </c>
      <c r="BP31" s="384">
        <f t="shared" si="3"/>
        <v>0</v>
      </c>
      <c r="BQ31" s="384">
        <f t="shared" si="4"/>
        <v>690577.05999999994</v>
      </c>
      <c r="BR31" s="384">
        <f t="shared" si="5"/>
        <v>2948938.2</v>
      </c>
      <c r="BS31" s="384">
        <f t="shared" si="6"/>
        <v>8534.1032980519703</v>
      </c>
      <c r="BT31" s="384">
        <f t="shared" si="7"/>
        <v>0</v>
      </c>
      <c r="BU31" s="384">
        <f t="shared" si="8"/>
        <v>0</v>
      </c>
      <c r="BV31" s="384">
        <f t="shared" si="9"/>
        <v>0</v>
      </c>
      <c r="BW31" s="384">
        <f t="shared" si="10"/>
        <v>0</v>
      </c>
      <c r="BX31" s="384">
        <f t="shared" si="11"/>
        <v>2957472.3032980519</v>
      </c>
      <c r="BY31" s="384">
        <f t="shared" si="12"/>
        <v>0</v>
      </c>
    </row>
    <row r="32" spans="1:77" s="373" customFormat="1" x14ac:dyDescent="0.25">
      <c r="A32" s="731">
        <v>13</v>
      </c>
      <c r="B32" s="131" t="s">
        <v>229</v>
      </c>
      <c r="C32" s="737" t="s">
        <v>375</v>
      </c>
      <c r="D32" s="257">
        <v>2305821.2999999989</v>
      </c>
      <c r="E32" s="257"/>
      <c r="F32" s="384">
        <f t="shared" si="13"/>
        <v>2305821.2999999989</v>
      </c>
      <c r="G32" s="257">
        <v>7577762</v>
      </c>
      <c r="H32" s="257"/>
      <c r="I32" s="384">
        <f t="shared" si="14"/>
        <v>7577762</v>
      </c>
      <c r="J32" s="384">
        <f t="shared" si="15"/>
        <v>9883583.2999999989</v>
      </c>
      <c r="K32" s="257">
        <v>-7.9354210580022137E-9</v>
      </c>
      <c r="L32" s="257"/>
      <c r="M32" s="257"/>
      <c r="N32" s="257"/>
      <c r="O32" s="742"/>
      <c r="P32" s="246">
        <f t="shared" si="16"/>
        <v>9883583.2999999914</v>
      </c>
      <c r="Q32" s="733">
        <f>P32-O32-'Schedule 3A_Income Statement'!CO49</f>
        <v>0</v>
      </c>
      <c r="R32" s="247"/>
      <c r="S32" s="257">
        <v>2587164.8500000006</v>
      </c>
      <c r="T32" s="257"/>
      <c r="U32" s="384">
        <f t="shared" si="17"/>
        <v>2587164.8500000006</v>
      </c>
      <c r="V32" s="257">
        <v>6919464.8599999975</v>
      </c>
      <c r="W32" s="257"/>
      <c r="X32" s="384">
        <f t="shared" si="18"/>
        <v>6919464.8599999975</v>
      </c>
      <c r="Y32" s="384">
        <f t="shared" si="19"/>
        <v>9506629.7099999972</v>
      </c>
      <c r="Z32" s="257">
        <v>2282.968601636805</v>
      </c>
      <c r="AA32" s="257"/>
      <c r="AB32" s="257"/>
      <c r="AC32" s="257"/>
      <c r="AD32" s="742"/>
      <c r="AE32" s="246">
        <f t="shared" si="20"/>
        <v>9508912.6786016338</v>
      </c>
      <c r="AF32" s="733">
        <f>AE32-AD32-'Schedule 3A_Income Statement'!CP49</f>
        <v>0</v>
      </c>
      <c r="AG32" s="247"/>
      <c r="AH32" s="257">
        <v>1837678.1199999989</v>
      </c>
      <c r="AI32" s="257"/>
      <c r="AJ32" s="384">
        <f t="shared" si="21"/>
        <v>1837678.1199999989</v>
      </c>
      <c r="AK32" s="257">
        <v>7315786.2799999993</v>
      </c>
      <c r="AL32" s="257"/>
      <c r="AM32" s="384">
        <f t="shared" si="22"/>
        <v>7315786.2799999993</v>
      </c>
      <c r="AN32" s="384">
        <f t="shared" si="23"/>
        <v>9153464.3999999985</v>
      </c>
      <c r="AO32" s="257">
        <v>15572.6916254511</v>
      </c>
      <c r="AP32" s="257"/>
      <c r="AQ32" s="257"/>
      <c r="AR32" s="257"/>
      <c r="AS32" s="742"/>
      <c r="AT32" s="246">
        <f t="shared" si="24"/>
        <v>9169037.0916254502</v>
      </c>
      <c r="AU32" s="733">
        <f>AT32-AS32-'Schedule 3A_Income Statement'!CQ49</f>
        <v>0</v>
      </c>
      <c r="AV32" s="247"/>
      <c r="AW32" s="257">
        <v>1878570.7399999993</v>
      </c>
      <c r="AX32" s="257"/>
      <c r="AY32" s="384">
        <f t="shared" si="25"/>
        <v>1878570.7399999993</v>
      </c>
      <c r="AZ32" s="257">
        <v>7336483.6999999983</v>
      </c>
      <c r="BA32" s="257"/>
      <c r="BB32" s="384">
        <f t="shared" si="26"/>
        <v>7336483.6999999983</v>
      </c>
      <c r="BC32" s="384">
        <f t="shared" si="27"/>
        <v>9215054.4399999976</v>
      </c>
      <c r="BD32" s="257">
        <v>56004.702355890789</v>
      </c>
      <c r="BE32" s="257"/>
      <c r="BF32" s="257"/>
      <c r="BG32" s="257"/>
      <c r="BH32" s="742"/>
      <c r="BI32" s="246">
        <f t="shared" si="28"/>
        <v>9271059.1423558891</v>
      </c>
      <c r="BJ32" s="733">
        <f>BI32-BH32-'Schedule 3A_Income Statement'!CR49</f>
        <v>0</v>
      </c>
      <c r="BL32" s="384">
        <f t="shared" si="29"/>
        <v>8609235.0099999979</v>
      </c>
      <c r="BM32" s="384">
        <f t="shared" si="0"/>
        <v>0</v>
      </c>
      <c r="BN32" s="384">
        <f t="shared" si="1"/>
        <v>8609235.0099999979</v>
      </c>
      <c r="BO32" s="384">
        <f t="shared" si="2"/>
        <v>29149496.839999996</v>
      </c>
      <c r="BP32" s="384">
        <f t="shared" si="3"/>
        <v>0</v>
      </c>
      <c r="BQ32" s="384">
        <f t="shared" si="4"/>
        <v>29149496.839999996</v>
      </c>
      <c r="BR32" s="384">
        <f t="shared" si="5"/>
        <v>37758731.849999994</v>
      </c>
      <c r="BS32" s="384">
        <f t="shared" si="6"/>
        <v>73860.36258297076</v>
      </c>
      <c r="BT32" s="384">
        <f t="shared" si="7"/>
        <v>0</v>
      </c>
      <c r="BU32" s="384">
        <f t="shared" si="8"/>
        <v>0</v>
      </c>
      <c r="BV32" s="384">
        <f t="shared" si="9"/>
        <v>0</v>
      </c>
      <c r="BW32" s="384">
        <f t="shared" si="10"/>
        <v>0</v>
      </c>
      <c r="BX32" s="384">
        <f t="shared" si="11"/>
        <v>37832592.212582968</v>
      </c>
      <c r="BY32" s="384">
        <f t="shared" si="12"/>
        <v>0</v>
      </c>
    </row>
    <row r="33" spans="1:77" s="373" customFormat="1" x14ac:dyDescent="0.25">
      <c r="A33" s="730">
        <v>14</v>
      </c>
      <c r="B33" s="129" t="s">
        <v>1457</v>
      </c>
      <c r="C33" s="737" t="s">
        <v>234</v>
      </c>
      <c r="D33" s="257">
        <v>0</v>
      </c>
      <c r="E33" s="257"/>
      <c r="F33" s="384">
        <f t="shared" si="13"/>
        <v>0</v>
      </c>
      <c r="G33" s="257">
        <v>18238157.830000002</v>
      </c>
      <c r="H33" s="257"/>
      <c r="I33" s="384">
        <f t="shared" si="14"/>
        <v>18238157.830000002</v>
      </c>
      <c r="J33" s="384">
        <f t="shared" si="15"/>
        <v>18238157.830000002</v>
      </c>
      <c r="K33" s="257">
        <v>-1.8751132399353078E-8</v>
      </c>
      <c r="L33" s="257"/>
      <c r="M33" s="257"/>
      <c r="N33" s="257"/>
      <c r="O33" s="742"/>
      <c r="P33" s="246">
        <f t="shared" si="16"/>
        <v>18238157.829999983</v>
      </c>
      <c r="Q33" s="733">
        <f>P33-O33-'Schedule 3A_Income Statement'!CO50</f>
        <v>0</v>
      </c>
      <c r="R33" s="247"/>
      <c r="S33" s="257">
        <v>252.95999999903142</v>
      </c>
      <c r="T33" s="257"/>
      <c r="U33" s="384">
        <f t="shared" si="17"/>
        <v>252.95999999903142</v>
      </c>
      <c r="V33" s="257">
        <v>18865761.410000004</v>
      </c>
      <c r="W33" s="257"/>
      <c r="X33" s="384">
        <f t="shared" si="18"/>
        <v>18865761.410000004</v>
      </c>
      <c r="Y33" s="384">
        <f t="shared" si="19"/>
        <v>18866014.370000005</v>
      </c>
      <c r="Z33" s="257">
        <v>1967.7788147179454</v>
      </c>
      <c r="AA33" s="257"/>
      <c r="AB33" s="257"/>
      <c r="AC33" s="257"/>
      <c r="AD33" s="742"/>
      <c r="AE33" s="246">
        <f t="shared" si="20"/>
        <v>18867982.148814723</v>
      </c>
      <c r="AF33" s="733">
        <f>AE33-AD33-'Schedule 3A_Income Statement'!CP50</f>
        <v>0</v>
      </c>
      <c r="AG33" s="247"/>
      <c r="AH33" s="257">
        <v>0</v>
      </c>
      <c r="AI33" s="257"/>
      <c r="AJ33" s="384">
        <f t="shared" si="21"/>
        <v>0</v>
      </c>
      <c r="AK33" s="257">
        <v>19713771.010000002</v>
      </c>
      <c r="AL33" s="257"/>
      <c r="AM33" s="384">
        <f t="shared" si="22"/>
        <v>19713771.010000002</v>
      </c>
      <c r="AN33" s="384">
        <f t="shared" si="23"/>
        <v>19713771.010000002</v>
      </c>
      <c r="AO33" s="257">
        <v>26830.508208795967</v>
      </c>
      <c r="AP33" s="257"/>
      <c r="AQ33" s="257"/>
      <c r="AR33" s="257"/>
      <c r="AS33" s="742"/>
      <c r="AT33" s="246">
        <f t="shared" si="24"/>
        <v>19740601.518208798</v>
      </c>
      <c r="AU33" s="733">
        <f>AT33-AS33-'Schedule 3A_Income Statement'!CQ50</f>
        <v>0</v>
      </c>
      <c r="AV33" s="247"/>
      <c r="AW33" s="257">
        <v>0</v>
      </c>
      <c r="AX33" s="257"/>
      <c r="AY33" s="384">
        <f t="shared" si="25"/>
        <v>0</v>
      </c>
      <c r="AZ33" s="257">
        <v>19933496.630000006</v>
      </c>
      <c r="BA33" s="257"/>
      <c r="BB33" s="384">
        <f t="shared" si="26"/>
        <v>19933496.630000006</v>
      </c>
      <c r="BC33" s="384">
        <f t="shared" si="27"/>
        <v>19933496.630000006</v>
      </c>
      <c r="BD33" s="257">
        <v>108414.64305346881</v>
      </c>
      <c r="BE33" s="257"/>
      <c r="BF33" s="257"/>
      <c r="BG33" s="257"/>
      <c r="BH33" s="742"/>
      <c r="BI33" s="246">
        <f t="shared" si="28"/>
        <v>20041911.273053475</v>
      </c>
      <c r="BJ33" s="733">
        <f>BI33-BH33-'Schedule 3A_Income Statement'!CR50</f>
        <v>0</v>
      </c>
      <c r="BL33" s="384">
        <f t="shared" si="29"/>
        <v>252.95999999903142</v>
      </c>
      <c r="BM33" s="384">
        <f t="shared" si="0"/>
        <v>0</v>
      </c>
      <c r="BN33" s="384">
        <f t="shared" si="1"/>
        <v>252.95999999903142</v>
      </c>
      <c r="BO33" s="384">
        <f t="shared" si="2"/>
        <v>76751186.880000025</v>
      </c>
      <c r="BP33" s="384">
        <f t="shared" si="3"/>
        <v>0</v>
      </c>
      <c r="BQ33" s="384">
        <f t="shared" si="4"/>
        <v>76751186.880000025</v>
      </c>
      <c r="BR33" s="384">
        <f t="shared" si="5"/>
        <v>76751439.840000018</v>
      </c>
      <c r="BS33" s="384">
        <f t="shared" si="6"/>
        <v>137212.93007696397</v>
      </c>
      <c r="BT33" s="384">
        <f t="shared" si="7"/>
        <v>0</v>
      </c>
      <c r="BU33" s="384">
        <f t="shared" si="8"/>
        <v>0</v>
      </c>
      <c r="BV33" s="384">
        <f t="shared" si="9"/>
        <v>0</v>
      </c>
      <c r="BW33" s="384">
        <f t="shared" si="10"/>
        <v>0</v>
      </c>
      <c r="BX33" s="384">
        <f t="shared" si="11"/>
        <v>76888652.77007699</v>
      </c>
      <c r="BY33" s="384">
        <f t="shared" si="12"/>
        <v>0</v>
      </c>
    </row>
    <row r="34" spans="1:77" s="373" customFormat="1" x14ac:dyDescent="0.25">
      <c r="A34" s="731">
        <v>15</v>
      </c>
      <c r="B34" s="129" t="s">
        <v>463</v>
      </c>
      <c r="C34" s="737" t="s">
        <v>234</v>
      </c>
      <c r="D34" s="257">
        <v>848403.63000000175</v>
      </c>
      <c r="E34" s="257"/>
      <c r="F34" s="384">
        <f t="shared" ref="F34:F37" si="30">SUM(D34:E34)</f>
        <v>848403.63000000175</v>
      </c>
      <c r="G34" s="257">
        <v>435759.83999999991</v>
      </c>
      <c r="H34" s="257"/>
      <c r="I34" s="384">
        <f t="shared" ref="I34:I37" si="31">SUM(G34:H34)</f>
        <v>435759.83999999991</v>
      </c>
      <c r="J34" s="384">
        <f t="shared" ref="J34:J37" si="32">F34+I34</f>
        <v>1284163.4700000016</v>
      </c>
      <c r="K34" s="257">
        <v>-5.0119219122747568E-10</v>
      </c>
      <c r="L34" s="257"/>
      <c r="M34" s="257"/>
      <c r="N34" s="257"/>
      <c r="O34" s="742"/>
      <c r="P34" s="246">
        <f t="shared" ref="P34:P37" si="33">SUM(J34:N34)</f>
        <v>1284163.4700000011</v>
      </c>
      <c r="Q34" s="733">
        <f>P34-O34-'Schedule 3A_Income Statement'!CO51</f>
        <v>0</v>
      </c>
      <c r="R34" s="247"/>
      <c r="S34" s="257">
        <v>800271.88000000163</v>
      </c>
      <c r="T34" s="257"/>
      <c r="U34" s="384">
        <f t="shared" ref="U34:U37" si="34">SUM(S34:T34)</f>
        <v>800271.88000000163</v>
      </c>
      <c r="V34" s="257">
        <v>453425.43</v>
      </c>
      <c r="W34" s="257"/>
      <c r="X34" s="384">
        <f t="shared" ref="X34:X37" si="35">SUM(V34:W34)</f>
        <v>453425.43</v>
      </c>
      <c r="Y34" s="384">
        <f t="shared" ref="Y34:Y37" si="36">U34+X34</f>
        <v>1253697.3100000017</v>
      </c>
      <c r="Z34" s="257">
        <v>530.23638867034742</v>
      </c>
      <c r="AA34" s="257"/>
      <c r="AB34" s="257"/>
      <c r="AC34" s="257"/>
      <c r="AD34" s="742"/>
      <c r="AE34" s="246">
        <f t="shared" ref="AE34:AE37" si="37">SUM(Y34:AC34)</f>
        <v>1254227.546388672</v>
      </c>
      <c r="AF34" s="733">
        <f>AE34-AD34-'Schedule 3A_Income Statement'!CP51</f>
        <v>0</v>
      </c>
      <c r="AG34" s="247"/>
      <c r="AH34" s="257">
        <v>868040.06000000029</v>
      </c>
      <c r="AI34" s="257"/>
      <c r="AJ34" s="384">
        <f t="shared" ref="AJ34:AJ37" si="38">SUM(AH34:AI34)</f>
        <v>868040.06000000029</v>
      </c>
      <c r="AK34" s="257">
        <v>431439.30999999994</v>
      </c>
      <c r="AL34" s="257"/>
      <c r="AM34" s="384">
        <f t="shared" ref="AM34:AM37" si="39">SUM(AK34:AL34)</f>
        <v>431439.30999999994</v>
      </c>
      <c r="AN34" s="384">
        <f t="shared" ref="AN34:AN37" si="40">AJ34+AM34</f>
        <v>1299479.3700000001</v>
      </c>
      <c r="AO34" s="257">
        <v>3239.8913480038464</v>
      </c>
      <c r="AP34" s="257"/>
      <c r="AQ34" s="257"/>
      <c r="AR34" s="257"/>
      <c r="AS34" s="742"/>
      <c r="AT34" s="246">
        <f t="shared" ref="AT34:AT37" si="41">SUM(AN34:AR34)</f>
        <v>1302719.261348004</v>
      </c>
      <c r="AU34" s="733">
        <f>AT34-AS34-'Schedule 3A_Income Statement'!CQ51</f>
        <v>0</v>
      </c>
      <c r="AV34" s="247"/>
      <c r="AW34" s="257">
        <v>828181.3200000017</v>
      </c>
      <c r="AX34" s="257"/>
      <c r="AY34" s="384">
        <f t="shared" ref="AY34:AY37" si="42">SUM(AW34:AX34)</f>
        <v>828181.3200000017</v>
      </c>
      <c r="AZ34" s="257">
        <v>509998.8299999999</v>
      </c>
      <c r="BA34" s="257"/>
      <c r="BB34" s="384">
        <f t="shared" ref="BB34:BB37" si="43">SUM(AZ34:BA34)</f>
        <v>509998.8299999999</v>
      </c>
      <c r="BC34" s="384">
        <f t="shared" ref="BC34:BC37" si="44">AY34+BB34</f>
        <v>1338180.1500000015</v>
      </c>
      <c r="BD34" s="257">
        <v>9872.8727910218695</v>
      </c>
      <c r="BE34" s="257"/>
      <c r="BF34" s="257"/>
      <c r="BG34" s="257"/>
      <c r="BH34" s="742"/>
      <c r="BI34" s="246">
        <f t="shared" ref="BI34:BI37" si="45">SUM(BC34:BG34)</f>
        <v>1348053.0227910234</v>
      </c>
      <c r="BJ34" s="733">
        <f>BI34-BH34-'Schedule 3A_Income Statement'!CR51</f>
        <v>0</v>
      </c>
      <c r="BL34" s="384">
        <f t="shared" si="29"/>
        <v>3344896.8900000057</v>
      </c>
      <c r="BM34" s="384">
        <f t="shared" si="0"/>
        <v>0</v>
      </c>
      <c r="BN34" s="384">
        <f t="shared" si="1"/>
        <v>3344896.8900000057</v>
      </c>
      <c r="BO34" s="384">
        <f t="shared" si="2"/>
        <v>1830623.4099999997</v>
      </c>
      <c r="BP34" s="384">
        <f t="shared" si="3"/>
        <v>0</v>
      </c>
      <c r="BQ34" s="384">
        <f t="shared" si="4"/>
        <v>1830623.4099999997</v>
      </c>
      <c r="BR34" s="384">
        <f t="shared" si="5"/>
        <v>5175520.3000000045</v>
      </c>
      <c r="BS34" s="384">
        <f t="shared" si="6"/>
        <v>13643.000527695562</v>
      </c>
      <c r="BT34" s="384">
        <f t="shared" si="7"/>
        <v>0</v>
      </c>
      <c r="BU34" s="384">
        <f t="shared" si="8"/>
        <v>0</v>
      </c>
      <c r="BV34" s="384">
        <f t="shared" si="9"/>
        <v>0</v>
      </c>
      <c r="BW34" s="384">
        <f t="shared" si="10"/>
        <v>0</v>
      </c>
      <c r="BX34" s="384">
        <f t="shared" si="11"/>
        <v>5189163.3005277012</v>
      </c>
      <c r="BY34" s="384">
        <f t="shared" si="12"/>
        <v>0</v>
      </c>
    </row>
    <row r="35" spans="1:77" s="373" customFormat="1" x14ac:dyDescent="0.25">
      <c r="A35" s="731">
        <v>16</v>
      </c>
      <c r="B35" s="129" t="s">
        <v>1458</v>
      </c>
      <c r="C35" s="737" t="s">
        <v>234</v>
      </c>
      <c r="D35" s="257">
        <v>0</v>
      </c>
      <c r="E35" s="257"/>
      <c r="F35" s="384">
        <f t="shared" si="30"/>
        <v>0</v>
      </c>
      <c r="G35" s="257">
        <v>12335284.4</v>
      </c>
      <c r="H35" s="257"/>
      <c r="I35" s="384">
        <f t="shared" si="31"/>
        <v>12335284.4</v>
      </c>
      <c r="J35" s="384">
        <f t="shared" si="32"/>
        <v>12335284.4</v>
      </c>
      <c r="K35" s="257">
        <v>-1.2682232115987482E-8</v>
      </c>
      <c r="L35" s="257"/>
      <c r="M35" s="257"/>
      <c r="N35" s="257"/>
      <c r="O35" s="742"/>
      <c r="P35" s="246">
        <f t="shared" si="33"/>
        <v>12335284.399999987</v>
      </c>
      <c r="Q35" s="733">
        <f>P35-O35-'Schedule 3A_Income Statement'!CO52</f>
        <v>0</v>
      </c>
      <c r="R35" s="247"/>
      <c r="S35" s="257">
        <v>2196.7200000009034</v>
      </c>
      <c r="T35" s="257"/>
      <c r="U35" s="384">
        <f t="shared" si="34"/>
        <v>2196.7200000009034</v>
      </c>
      <c r="V35" s="257">
        <v>13215400.869999999</v>
      </c>
      <c r="W35" s="257"/>
      <c r="X35" s="384">
        <f t="shared" si="35"/>
        <v>13215400.869999999</v>
      </c>
      <c r="Y35" s="384">
        <f t="shared" si="36"/>
        <v>13217597.59</v>
      </c>
      <c r="Z35" s="257">
        <v>1379.6410159718735</v>
      </c>
      <c r="AA35" s="257"/>
      <c r="AB35" s="257"/>
      <c r="AC35" s="257"/>
      <c r="AD35" s="742"/>
      <c r="AE35" s="246">
        <f t="shared" si="37"/>
        <v>13218977.231015971</v>
      </c>
      <c r="AF35" s="733">
        <f>AE35-AD35-'Schedule 3A_Income Statement'!CP52</f>
        <v>0</v>
      </c>
      <c r="AG35" s="247"/>
      <c r="AH35" s="257">
        <v>91.309999999590218</v>
      </c>
      <c r="AI35" s="257"/>
      <c r="AJ35" s="384">
        <f t="shared" si="38"/>
        <v>91.309999999590218</v>
      </c>
      <c r="AK35" s="257">
        <v>14621207.650000002</v>
      </c>
      <c r="AL35" s="257"/>
      <c r="AM35" s="384">
        <f t="shared" si="39"/>
        <v>14621207.650000002</v>
      </c>
      <c r="AN35" s="384">
        <f t="shared" si="40"/>
        <v>14621298.960000001</v>
      </c>
      <c r="AO35" s="257">
        <v>19899.791501724078</v>
      </c>
      <c r="AP35" s="257"/>
      <c r="AQ35" s="257"/>
      <c r="AR35" s="257"/>
      <c r="AS35" s="742"/>
      <c r="AT35" s="246">
        <f t="shared" si="41"/>
        <v>14641198.751501724</v>
      </c>
      <c r="AU35" s="733">
        <f>AT35-AS35-'Schedule 3A_Income Statement'!CQ52</f>
        <v>0</v>
      </c>
      <c r="AV35" s="247"/>
      <c r="AW35" s="257">
        <v>435.30000000074506</v>
      </c>
      <c r="AX35" s="257"/>
      <c r="AY35" s="384">
        <f t="shared" si="42"/>
        <v>435.30000000074506</v>
      </c>
      <c r="AZ35" s="257">
        <v>16406300.859999999</v>
      </c>
      <c r="BA35" s="257"/>
      <c r="BB35" s="384">
        <f t="shared" si="43"/>
        <v>16406300.859999999</v>
      </c>
      <c r="BC35" s="384">
        <f t="shared" si="44"/>
        <v>16406736.16</v>
      </c>
      <c r="BD35" s="257">
        <v>89234.601602662806</v>
      </c>
      <c r="BE35" s="257"/>
      <c r="BF35" s="257"/>
      <c r="BG35" s="257"/>
      <c r="BH35" s="742"/>
      <c r="BI35" s="246">
        <f t="shared" si="45"/>
        <v>16495970.761602663</v>
      </c>
      <c r="BJ35" s="733">
        <f>BI35-BH35-'Schedule 3A_Income Statement'!CR52</f>
        <v>0</v>
      </c>
      <c r="BL35" s="384">
        <f t="shared" si="29"/>
        <v>2723.3300000012387</v>
      </c>
      <c r="BM35" s="384">
        <f t="shared" si="0"/>
        <v>0</v>
      </c>
      <c r="BN35" s="384">
        <f t="shared" si="1"/>
        <v>2723.3300000012387</v>
      </c>
      <c r="BO35" s="384">
        <f t="shared" si="2"/>
        <v>56578193.780000001</v>
      </c>
      <c r="BP35" s="384">
        <f t="shared" si="3"/>
        <v>0</v>
      </c>
      <c r="BQ35" s="384">
        <f t="shared" si="4"/>
        <v>56578193.780000001</v>
      </c>
      <c r="BR35" s="384">
        <f t="shared" si="5"/>
        <v>56580917.109999999</v>
      </c>
      <c r="BS35" s="384">
        <f t="shared" si="6"/>
        <v>110514.03412034607</v>
      </c>
      <c r="BT35" s="384">
        <f t="shared" si="7"/>
        <v>0</v>
      </c>
      <c r="BU35" s="384">
        <f t="shared" si="8"/>
        <v>0</v>
      </c>
      <c r="BV35" s="384">
        <f t="shared" si="9"/>
        <v>0</v>
      </c>
      <c r="BW35" s="384">
        <f t="shared" si="10"/>
        <v>0</v>
      </c>
      <c r="BX35" s="384">
        <f t="shared" si="11"/>
        <v>56691431.144120343</v>
      </c>
      <c r="BY35" s="384">
        <f t="shared" si="12"/>
        <v>0</v>
      </c>
    </row>
    <row r="36" spans="1:77" s="373" customFormat="1" x14ac:dyDescent="0.25">
      <c r="A36" s="731">
        <v>17</v>
      </c>
      <c r="B36" s="129" t="s">
        <v>430</v>
      </c>
      <c r="C36" s="737" t="s">
        <v>234</v>
      </c>
      <c r="D36" s="257">
        <v>0</v>
      </c>
      <c r="E36" s="257"/>
      <c r="F36" s="384">
        <f t="shared" si="30"/>
        <v>0</v>
      </c>
      <c r="G36" s="257">
        <v>15690852.819999998</v>
      </c>
      <c r="H36" s="257"/>
      <c r="I36" s="384">
        <f t="shared" si="31"/>
        <v>15690852.819999998</v>
      </c>
      <c r="J36" s="384">
        <f t="shared" si="32"/>
        <v>15690852.819999998</v>
      </c>
      <c r="K36" s="257">
        <v>-1.6132180751425294E-8</v>
      </c>
      <c r="L36" s="257"/>
      <c r="M36" s="257"/>
      <c r="N36" s="257"/>
      <c r="O36" s="742"/>
      <c r="P36" s="246">
        <f t="shared" si="33"/>
        <v>15690852.819999982</v>
      </c>
      <c r="Q36" s="733">
        <f>P36-O36-'Schedule 3A_Income Statement'!CO53</f>
        <v>0</v>
      </c>
      <c r="R36" s="247"/>
      <c r="S36" s="257">
        <v>0</v>
      </c>
      <c r="T36" s="257"/>
      <c r="U36" s="384">
        <f t="shared" si="34"/>
        <v>0</v>
      </c>
      <c r="V36" s="257">
        <v>16485713.57</v>
      </c>
      <c r="W36" s="257"/>
      <c r="X36" s="384">
        <f t="shared" si="35"/>
        <v>16485713.57</v>
      </c>
      <c r="Y36" s="384">
        <f t="shared" si="36"/>
        <v>16485713.57</v>
      </c>
      <c r="Z36" s="257">
        <v>1719.3963480754408</v>
      </c>
      <c r="AA36" s="257"/>
      <c r="AB36" s="257"/>
      <c r="AC36" s="257"/>
      <c r="AD36" s="742"/>
      <c r="AE36" s="246">
        <f t="shared" si="37"/>
        <v>16487432.966348076</v>
      </c>
      <c r="AF36" s="733">
        <f>AE36-AD36-'Schedule 3A_Income Statement'!CP53</f>
        <v>0</v>
      </c>
      <c r="AG36" s="247"/>
      <c r="AH36" s="257">
        <v>0</v>
      </c>
      <c r="AI36" s="257"/>
      <c r="AJ36" s="384">
        <f t="shared" si="38"/>
        <v>0</v>
      </c>
      <c r="AK36" s="257">
        <v>18452160.549999997</v>
      </c>
      <c r="AL36" s="257"/>
      <c r="AM36" s="384">
        <f t="shared" si="39"/>
        <v>18452160.549999997</v>
      </c>
      <c r="AN36" s="384">
        <f t="shared" si="40"/>
        <v>18452160.549999997</v>
      </c>
      <c r="AO36" s="257">
        <v>25113.452157664891</v>
      </c>
      <c r="AP36" s="257"/>
      <c r="AQ36" s="257"/>
      <c r="AR36" s="257"/>
      <c r="AS36" s="742"/>
      <c r="AT36" s="246">
        <f t="shared" si="41"/>
        <v>18477274.002157662</v>
      </c>
      <c r="AU36" s="733">
        <f>AT36-AS36-'Schedule 3A_Income Statement'!CQ53</f>
        <v>0</v>
      </c>
      <c r="AV36" s="247"/>
      <c r="AW36" s="257">
        <v>14219.279999999329</v>
      </c>
      <c r="AX36" s="257"/>
      <c r="AY36" s="384">
        <f t="shared" si="42"/>
        <v>14219.279999999329</v>
      </c>
      <c r="AZ36" s="257">
        <v>19371113.979999997</v>
      </c>
      <c r="BA36" s="257"/>
      <c r="BB36" s="384">
        <f t="shared" si="43"/>
        <v>19371113.979999997</v>
      </c>
      <c r="BC36" s="384">
        <f t="shared" si="44"/>
        <v>19385333.259999998</v>
      </c>
      <c r="BD36" s="257">
        <v>105477.83281927471</v>
      </c>
      <c r="BE36" s="257"/>
      <c r="BF36" s="257"/>
      <c r="BG36" s="257"/>
      <c r="BH36" s="742"/>
      <c r="BI36" s="246">
        <f t="shared" si="45"/>
        <v>19490811.092819273</v>
      </c>
      <c r="BJ36" s="733">
        <f>BI36-BH36-'Schedule 3A_Income Statement'!CR53</f>
        <v>0</v>
      </c>
      <c r="BL36" s="384">
        <f t="shared" si="29"/>
        <v>14219.279999999329</v>
      </c>
      <c r="BM36" s="384">
        <f t="shared" si="0"/>
        <v>0</v>
      </c>
      <c r="BN36" s="384">
        <f t="shared" si="1"/>
        <v>14219.279999999329</v>
      </c>
      <c r="BO36" s="384">
        <f t="shared" si="2"/>
        <v>69999840.919999987</v>
      </c>
      <c r="BP36" s="384">
        <f t="shared" si="3"/>
        <v>0</v>
      </c>
      <c r="BQ36" s="384">
        <f t="shared" si="4"/>
        <v>69999840.919999987</v>
      </c>
      <c r="BR36" s="384">
        <f t="shared" si="5"/>
        <v>70014060.199999988</v>
      </c>
      <c r="BS36" s="384">
        <f t="shared" si="6"/>
        <v>132310.68132499891</v>
      </c>
      <c r="BT36" s="384">
        <f t="shared" si="7"/>
        <v>0</v>
      </c>
      <c r="BU36" s="384">
        <f t="shared" si="8"/>
        <v>0</v>
      </c>
      <c r="BV36" s="384">
        <f t="shared" si="9"/>
        <v>0</v>
      </c>
      <c r="BW36" s="384">
        <f t="shared" si="10"/>
        <v>0</v>
      </c>
      <c r="BX36" s="384">
        <f t="shared" si="11"/>
        <v>70146370.881324992</v>
      </c>
      <c r="BY36" s="384">
        <f t="shared" si="12"/>
        <v>0</v>
      </c>
    </row>
    <row r="37" spans="1:77" s="373" customFormat="1" x14ac:dyDescent="0.25">
      <c r="A37" s="731">
        <v>18</v>
      </c>
      <c r="B37" s="129" t="s">
        <v>453</v>
      </c>
      <c r="C37" s="737" t="s">
        <v>234</v>
      </c>
      <c r="D37" s="257">
        <v>0</v>
      </c>
      <c r="E37" s="257"/>
      <c r="F37" s="384">
        <f t="shared" si="30"/>
        <v>0</v>
      </c>
      <c r="G37" s="257">
        <v>0</v>
      </c>
      <c r="H37" s="257"/>
      <c r="I37" s="384">
        <f t="shared" si="31"/>
        <v>0</v>
      </c>
      <c r="J37" s="384">
        <f t="shared" si="32"/>
        <v>0</v>
      </c>
      <c r="K37" s="257">
        <v>0</v>
      </c>
      <c r="L37" s="257"/>
      <c r="M37" s="257"/>
      <c r="N37" s="257"/>
      <c r="O37" s="742"/>
      <c r="P37" s="246">
        <f t="shared" si="33"/>
        <v>0</v>
      </c>
      <c r="Q37" s="733">
        <f>P37-O37-'Schedule 3A_Income Statement'!CO54</f>
        <v>0</v>
      </c>
      <c r="R37" s="247"/>
      <c r="S37" s="257">
        <v>0</v>
      </c>
      <c r="T37" s="257"/>
      <c r="U37" s="384">
        <f t="shared" si="34"/>
        <v>0</v>
      </c>
      <c r="V37" s="257">
        <v>0</v>
      </c>
      <c r="W37" s="257"/>
      <c r="X37" s="384">
        <f t="shared" si="35"/>
        <v>0</v>
      </c>
      <c r="Y37" s="384">
        <f t="shared" si="36"/>
        <v>0</v>
      </c>
      <c r="Z37" s="257">
        <v>0</v>
      </c>
      <c r="AA37" s="257"/>
      <c r="AB37" s="257"/>
      <c r="AC37" s="257"/>
      <c r="AD37" s="742"/>
      <c r="AE37" s="246">
        <f t="shared" si="37"/>
        <v>0</v>
      </c>
      <c r="AF37" s="733">
        <f>AE37-AD37-'Schedule 3A_Income Statement'!CP54</f>
        <v>0</v>
      </c>
      <c r="AG37" s="247"/>
      <c r="AH37" s="257">
        <v>0</v>
      </c>
      <c r="AI37" s="257"/>
      <c r="AJ37" s="384">
        <f t="shared" si="38"/>
        <v>0</v>
      </c>
      <c r="AK37" s="257">
        <v>0</v>
      </c>
      <c r="AL37" s="257"/>
      <c r="AM37" s="384">
        <f t="shared" si="39"/>
        <v>0</v>
      </c>
      <c r="AN37" s="384">
        <f t="shared" si="40"/>
        <v>0</v>
      </c>
      <c r="AO37" s="257">
        <v>0</v>
      </c>
      <c r="AP37" s="257"/>
      <c r="AQ37" s="257"/>
      <c r="AR37" s="257"/>
      <c r="AS37" s="742"/>
      <c r="AT37" s="246">
        <f t="shared" si="41"/>
        <v>0</v>
      </c>
      <c r="AU37" s="733">
        <f>AT37-AS37-'Schedule 3A_Income Statement'!CQ54</f>
        <v>0</v>
      </c>
      <c r="AV37" s="247"/>
      <c r="AW37" s="257">
        <v>0</v>
      </c>
      <c r="AX37" s="257"/>
      <c r="AY37" s="384">
        <f t="shared" si="42"/>
        <v>0</v>
      </c>
      <c r="AZ37" s="257">
        <v>0</v>
      </c>
      <c r="BA37" s="257"/>
      <c r="BB37" s="384">
        <f t="shared" si="43"/>
        <v>0</v>
      </c>
      <c r="BC37" s="384">
        <f t="shared" si="44"/>
        <v>0</v>
      </c>
      <c r="BD37" s="257">
        <v>0</v>
      </c>
      <c r="BE37" s="257"/>
      <c r="BF37" s="257"/>
      <c r="BG37" s="257"/>
      <c r="BH37" s="742"/>
      <c r="BI37" s="246">
        <f t="shared" si="45"/>
        <v>0</v>
      </c>
      <c r="BJ37" s="733">
        <f>BI37-BH37-'Schedule 3A_Income Statement'!CR54</f>
        <v>0</v>
      </c>
      <c r="BL37" s="384">
        <f t="shared" si="29"/>
        <v>0</v>
      </c>
      <c r="BM37" s="384">
        <f t="shared" si="0"/>
        <v>0</v>
      </c>
      <c r="BN37" s="384">
        <f t="shared" si="1"/>
        <v>0</v>
      </c>
      <c r="BO37" s="384">
        <f t="shared" si="2"/>
        <v>0</v>
      </c>
      <c r="BP37" s="384">
        <f t="shared" si="3"/>
        <v>0</v>
      </c>
      <c r="BQ37" s="384">
        <f t="shared" si="4"/>
        <v>0</v>
      </c>
      <c r="BR37" s="384">
        <f t="shared" si="5"/>
        <v>0</v>
      </c>
      <c r="BS37" s="384">
        <f t="shared" si="6"/>
        <v>0</v>
      </c>
      <c r="BT37" s="384">
        <f t="shared" si="7"/>
        <v>0</v>
      </c>
      <c r="BU37" s="384">
        <f t="shared" si="8"/>
        <v>0</v>
      </c>
      <c r="BV37" s="384">
        <f t="shared" si="9"/>
        <v>0</v>
      </c>
      <c r="BW37" s="384">
        <f t="shared" si="10"/>
        <v>0</v>
      </c>
      <c r="BX37" s="384">
        <f t="shared" si="11"/>
        <v>0</v>
      </c>
      <c r="BY37" s="384">
        <f t="shared" si="12"/>
        <v>0</v>
      </c>
    </row>
    <row r="38" spans="1:77" s="373" customFormat="1" x14ac:dyDescent="0.25">
      <c r="A38" s="731">
        <v>19</v>
      </c>
      <c r="B38" s="131" t="s">
        <v>1459</v>
      </c>
      <c r="C38" s="737" t="s">
        <v>234</v>
      </c>
      <c r="D38" s="257">
        <v>1948062.7899999961</v>
      </c>
      <c r="E38" s="257"/>
      <c r="F38" s="384">
        <f t="shared" si="13"/>
        <v>1948062.7899999961</v>
      </c>
      <c r="G38" s="257">
        <v>7209998.25</v>
      </c>
      <c r="H38" s="257"/>
      <c r="I38" s="384">
        <f t="shared" si="14"/>
        <v>7209998.25</v>
      </c>
      <c r="J38" s="384">
        <f t="shared" si="15"/>
        <v>9158061.0399999954</v>
      </c>
      <c r="K38" s="257">
        <v>-7.5348899454093956E-9</v>
      </c>
      <c r="L38" s="257"/>
      <c r="M38" s="257"/>
      <c r="N38" s="257"/>
      <c r="O38" s="742"/>
      <c r="P38" s="246">
        <f t="shared" si="16"/>
        <v>9158061.0399999879</v>
      </c>
      <c r="Q38" s="733">
        <f>P38-O38-'Schedule 3A_Income Statement'!CO55</f>
        <v>0</v>
      </c>
      <c r="R38" s="247"/>
      <c r="S38" s="257">
        <v>2086541.7600000049</v>
      </c>
      <c r="T38" s="257"/>
      <c r="U38" s="384">
        <f t="shared" si="17"/>
        <v>2086541.7600000049</v>
      </c>
      <c r="V38" s="257">
        <v>7738439.2599999942</v>
      </c>
      <c r="W38" s="257"/>
      <c r="X38" s="384">
        <f t="shared" si="18"/>
        <v>7738439.2599999942</v>
      </c>
      <c r="Y38" s="384">
        <f t="shared" si="19"/>
        <v>9824981.0199999996</v>
      </c>
      <c r="Z38" s="257">
        <v>2066.2698328128881</v>
      </c>
      <c r="AA38" s="257"/>
      <c r="AB38" s="257"/>
      <c r="AC38" s="257"/>
      <c r="AD38" s="742"/>
      <c r="AE38" s="246">
        <f t="shared" si="20"/>
        <v>9827047.2898328118</v>
      </c>
      <c r="AF38" s="733">
        <f>AE38-AD38-'Schedule 3A_Income Statement'!CP55</f>
        <v>0</v>
      </c>
      <c r="AG38" s="247"/>
      <c r="AH38" s="257">
        <v>2027832.4199999985</v>
      </c>
      <c r="AI38" s="257"/>
      <c r="AJ38" s="384">
        <f t="shared" si="21"/>
        <v>2027832.4199999985</v>
      </c>
      <c r="AK38" s="257">
        <v>7965609.8599999966</v>
      </c>
      <c r="AL38" s="257"/>
      <c r="AM38" s="384">
        <f t="shared" si="22"/>
        <v>7965609.8599999966</v>
      </c>
      <c r="AN38" s="384">
        <f t="shared" si="23"/>
        <v>9993442.2799999956</v>
      </c>
      <c r="AO38" s="257">
        <v>17038.208785413728</v>
      </c>
      <c r="AP38" s="257"/>
      <c r="AQ38" s="257"/>
      <c r="AR38" s="257"/>
      <c r="AS38" s="742"/>
      <c r="AT38" s="246">
        <f t="shared" si="24"/>
        <v>10010480.488785408</v>
      </c>
      <c r="AU38" s="733">
        <f>AT38-AS38-'Schedule 3A_Income Statement'!CQ55</f>
        <v>0</v>
      </c>
      <c r="AV38" s="247"/>
      <c r="AW38" s="257">
        <v>2166147.0500000115</v>
      </c>
      <c r="AX38" s="257"/>
      <c r="AY38" s="384">
        <f t="shared" si="25"/>
        <v>2166147.0500000115</v>
      </c>
      <c r="AZ38" s="257">
        <v>8155071.7399999965</v>
      </c>
      <c r="BA38" s="257"/>
      <c r="BB38" s="384">
        <f t="shared" si="26"/>
        <v>8155071.7399999965</v>
      </c>
      <c r="BC38" s="384">
        <f t="shared" si="27"/>
        <v>10321218.790000008</v>
      </c>
      <c r="BD38" s="257">
        <v>62921.926636198586</v>
      </c>
      <c r="BE38" s="257"/>
      <c r="BF38" s="257"/>
      <c r="BG38" s="257"/>
      <c r="BH38" s="742"/>
      <c r="BI38" s="246">
        <f t="shared" si="28"/>
        <v>10384140.716636207</v>
      </c>
      <c r="BJ38" s="733">
        <f>BI38-BH38-'Schedule 3A_Income Statement'!CR55</f>
        <v>0</v>
      </c>
      <c r="BL38" s="384">
        <f t="shared" si="29"/>
        <v>8228584.0200000107</v>
      </c>
      <c r="BM38" s="384">
        <f t="shared" si="0"/>
        <v>0</v>
      </c>
      <c r="BN38" s="384">
        <f t="shared" si="1"/>
        <v>8228584.0200000107</v>
      </c>
      <c r="BO38" s="384">
        <f t="shared" si="2"/>
        <v>31069119.109999985</v>
      </c>
      <c r="BP38" s="384">
        <f t="shared" si="3"/>
        <v>0</v>
      </c>
      <c r="BQ38" s="384">
        <f t="shared" si="4"/>
        <v>31069119.109999985</v>
      </c>
      <c r="BR38" s="384">
        <f t="shared" si="5"/>
        <v>39297703.129999995</v>
      </c>
      <c r="BS38" s="384">
        <f t="shared" si="6"/>
        <v>82026.405254417667</v>
      </c>
      <c r="BT38" s="384">
        <f t="shared" si="7"/>
        <v>0</v>
      </c>
      <c r="BU38" s="384">
        <f t="shared" si="8"/>
        <v>0</v>
      </c>
      <c r="BV38" s="384">
        <f t="shared" si="9"/>
        <v>0</v>
      </c>
      <c r="BW38" s="384">
        <f t="shared" si="10"/>
        <v>0</v>
      </c>
      <c r="BX38" s="384">
        <f t="shared" si="11"/>
        <v>39379729.535254419</v>
      </c>
      <c r="BY38" s="384">
        <f t="shared" si="12"/>
        <v>0</v>
      </c>
    </row>
    <row r="39" spans="1:77" s="373" customFormat="1" x14ac:dyDescent="0.25">
      <c r="A39" s="730">
        <v>20</v>
      </c>
      <c r="B39" s="129" t="s">
        <v>285</v>
      </c>
      <c r="C39" s="737" t="s">
        <v>234</v>
      </c>
      <c r="D39" s="257">
        <v>796746.05000000051</v>
      </c>
      <c r="E39" s="257"/>
      <c r="F39" s="384">
        <f t="shared" si="13"/>
        <v>796746.05000000051</v>
      </c>
      <c r="G39" s="257">
        <v>1647252.85</v>
      </c>
      <c r="H39" s="257"/>
      <c r="I39" s="384">
        <f t="shared" si="14"/>
        <v>1647252.85</v>
      </c>
      <c r="J39" s="384">
        <f t="shared" si="15"/>
        <v>2443998.9000000004</v>
      </c>
      <c r="K39" s="257">
        <v>-1.7435224169603005E-9</v>
      </c>
      <c r="L39" s="257"/>
      <c r="M39" s="257"/>
      <c r="N39" s="257"/>
      <c r="O39" s="742"/>
      <c r="P39" s="246">
        <f t="shared" si="16"/>
        <v>2443998.8999999985</v>
      </c>
      <c r="Q39" s="733">
        <f>P39-O39-'Schedule 3A_Income Statement'!CO56</f>
        <v>0</v>
      </c>
      <c r="R39" s="247"/>
      <c r="S39" s="257">
        <v>874668.7300000001</v>
      </c>
      <c r="T39" s="257"/>
      <c r="U39" s="384">
        <f t="shared" si="17"/>
        <v>874668.7300000001</v>
      </c>
      <c r="V39" s="257">
        <v>1687535.02</v>
      </c>
      <c r="W39" s="257"/>
      <c r="X39" s="384">
        <f t="shared" si="18"/>
        <v>1687535.02</v>
      </c>
      <c r="Y39" s="384">
        <f t="shared" si="19"/>
        <v>2562203.75</v>
      </c>
      <c r="Z39" s="257">
        <v>703.84606521715978</v>
      </c>
      <c r="AA39" s="257"/>
      <c r="AB39" s="257"/>
      <c r="AC39" s="257"/>
      <c r="AD39" s="742"/>
      <c r="AE39" s="246">
        <f t="shared" si="20"/>
        <v>2562907.5960652172</v>
      </c>
      <c r="AF39" s="733">
        <f>AE39-AD39-'Schedule 3A_Income Statement'!CP56</f>
        <v>0</v>
      </c>
      <c r="AG39" s="247"/>
      <c r="AH39" s="257">
        <v>849545.2699999999</v>
      </c>
      <c r="AI39" s="257"/>
      <c r="AJ39" s="384">
        <f t="shared" si="21"/>
        <v>849545.2699999999</v>
      </c>
      <c r="AK39" s="257">
        <v>1823391.8100000005</v>
      </c>
      <c r="AL39" s="257"/>
      <c r="AM39" s="384">
        <f t="shared" si="22"/>
        <v>1823391.8100000005</v>
      </c>
      <c r="AN39" s="384">
        <f t="shared" si="23"/>
        <v>2672937.0800000005</v>
      </c>
      <c r="AO39" s="257">
        <v>5077.8238995958054</v>
      </c>
      <c r="AP39" s="257"/>
      <c r="AQ39" s="257"/>
      <c r="AR39" s="257"/>
      <c r="AS39" s="742"/>
      <c r="AT39" s="246">
        <f t="shared" si="24"/>
        <v>2678014.9038995965</v>
      </c>
      <c r="AU39" s="733">
        <f>AT39-AS39-'Schedule 3A_Income Statement'!CQ56</f>
        <v>0</v>
      </c>
      <c r="AV39" s="247"/>
      <c r="AW39" s="257">
        <v>844023.93</v>
      </c>
      <c r="AX39" s="257"/>
      <c r="AY39" s="384">
        <f t="shared" si="25"/>
        <v>844023.93</v>
      </c>
      <c r="AZ39" s="257">
        <v>1969853.18</v>
      </c>
      <c r="BA39" s="257"/>
      <c r="BB39" s="384">
        <f t="shared" si="26"/>
        <v>1969853.18</v>
      </c>
      <c r="BC39" s="384">
        <f t="shared" si="27"/>
        <v>2813877.11</v>
      </c>
      <c r="BD39" s="257">
        <v>17948.554818210698</v>
      </c>
      <c r="BE39" s="257"/>
      <c r="BF39" s="257"/>
      <c r="BG39" s="257"/>
      <c r="BH39" s="742"/>
      <c r="BI39" s="246">
        <f t="shared" si="28"/>
        <v>2831825.6648182105</v>
      </c>
      <c r="BJ39" s="733">
        <f>BI39-BH39-'Schedule 3A_Income Statement'!CR56</f>
        <v>0</v>
      </c>
      <c r="BL39" s="384">
        <f t="shared" si="29"/>
        <v>3364983.9800000009</v>
      </c>
      <c r="BM39" s="384">
        <f t="shared" si="0"/>
        <v>0</v>
      </c>
      <c r="BN39" s="384">
        <f t="shared" si="1"/>
        <v>3364983.9800000009</v>
      </c>
      <c r="BO39" s="384">
        <f t="shared" si="2"/>
        <v>7128032.8600000003</v>
      </c>
      <c r="BP39" s="384">
        <f t="shared" si="3"/>
        <v>0</v>
      </c>
      <c r="BQ39" s="384">
        <f t="shared" si="4"/>
        <v>7128032.8600000003</v>
      </c>
      <c r="BR39" s="384">
        <f t="shared" si="5"/>
        <v>10493016.84</v>
      </c>
      <c r="BS39" s="384">
        <f t="shared" si="6"/>
        <v>23730.22478302192</v>
      </c>
      <c r="BT39" s="384">
        <f t="shared" si="7"/>
        <v>0</v>
      </c>
      <c r="BU39" s="384">
        <f t="shared" si="8"/>
        <v>0</v>
      </c>
      <c r="BV39" s="384">
        <f t="shared" si="9"/>
        <v>0</v>
      </c>
      <c r="BW39" s="384">
        <f t="shared" si="10"/>
        <v>0</v>
      </c>
      <c r="BX39" s="384">
        <f t="shared" si="11"/>
        <v>10516747.064783024</v>
      </c>
      <c r="BY39" s="384">
        <f t="shared" si="12"/>
        <v>0</v>
      </c>
    </row>
    <row r="40" spans="1:77" s="373" customFormat="1" x14ac:dyDescent="0.25">
      <c r="A40" s="731">
        <v>21</v>
      </c>
      <c r="B40" s="131" t="s">
        <v>240</v>
      </c>
      <c r="C40" s="737" t="s">
        <v>234</v>
      </c>
      <c r="D40" s="257">
        <v>884299.87999999919</v>
      </c>
      <c r="E40" s="257"/>
      <c r="F40" s="384">
        <f t="shared" si="13"/>
        <v>884299.87999999919</v>
      </c>
      <c r="G40" s="257">
        <v>1094397.7500000002</v>
      </c>
      <c r="H40" s="257"/>
      <c r="I40" s="384">
        <f t="shared" si="14"/>
        <v>1094397.7500000002</v>
      </c>
      <c r="J40" s="384">
        <f t="shared" si="15"/>
        <v>1978697.6299999994</v>
      </c>
      <c r="K40" s="257">
        <v>-1.1806051389740518E-9</v>
      </c>
      <c r="L40" s="257"/>
      <c r="M40" s="257"/>
      <c r="N40" s="257"/>
      <c r="O40" s="742"/>
      <c r="P40" s="246">
        <f t="shared" si="16"/>
        <v>1978697.6299999983</v>
      </c>
      <c r="Q40" s="733">
        <f>P40-O40-'Schedule 3A_Income Statement'!CO57</f>
        <v>0</v>
      </c>
      <c r="R40" s="247"/>
      <c r="S40" s="257">
        <v>832087.10000000068</v>
      </c>
      <c r="T40" s="257"/>
      <c r="U40" s="384">
        <f t="shared" si="17"/>
        <v>832087.10000000068</v>
      </c>
      <c r="V40" s="257">
        <v>634880.35999999987</v>
      </c>
      <c r="W40" s="257"/>
      <c r="X40" s="384">
        <f t="shared" si="18"/>
        <v>634880.35999999987</v>
      </c>
      <c r="Y40" s="384">
        <f t="shared" si="19"/>
        <v>1466967.4600000004</v>
      </c>
      <c r="Z40" s="257">
        <v>568.36119922548744</v>
      </c>
      <c r="AA40" s="257"/>
      <c r="AB40" s="257"/>
      <c r="AC40" s="257"/>
      <c r="AD40" s="742"/>
      <c r="AE40" s="246">
        <f t="shared" si="20"/>
        <v>1467535.821199226</v>
      </c>
      <c r="AF40" s="733">
        <f>AE40-AD40-'Schedule 3A_Income Statement'!CP57</f>
        <v>0</v>
      </c>
      <c r="AG40" s="247"/>
      <c r="AH40" s="257">
        <v>940902.73000000021</v>
      </c>
      <c r="AI40" s="257"/>
      <c r="AJ40" s="384">
        <f t="shared" si="21"/>
        <v>940902.73000000021</v>
      </c>
      <c r="AK40" s="257">
        <v>880254.41999999993</v>
      </c>
      <c r="AL40" s="257"/>
      <c r="AM40" s="384">
        <f t="shared" si="22"/>
        <v>880254.41999999993</v>
      </c>
      <c r="AN40" s="384">
        <f t="shared" si="23"/>
        <v>1821157.1500000001</v>
      </c>
      <c r="AO40" s="257">
        <v>4073.396062433726</v>
      </c>
      <c r="AP40" s="257"/>
      <c r="AQ40" s="257"/>
      <c r="AR40" s="257"/>
      <c r="AS40" s="742"/>
      <c r="AT40" s="246">
        <f t="shared" si="24"/>
        <v>1825230.5460624339</v>
      </c>
      <c r="AU40" s="733">
        <f>AT40-AS40-'Schedule 3A_Income Statement'!CQ57</f>
        <v>0</v>
      </c>
      <c r="AV40" s="247"/>
      <c r="AW40" s="257">
        <v>910276.01999999967</v>
      </c>
      <c r="AX40" s="257"/>
      <c r="AY40" s="384">
        <f t="shared" si="25"/>
        <v>910276.01999999967</v>
      </c>
      <c r="AZ40" s="257">
        <v>789726.45</v>
      </c>
      <c r="BA40" s="257"/>
      <c r="BB40" s="384">
        <f t="shared" si="26"/>
        <v>789726.45</v>
      </c>
      <c r="BC40" s="384">
        <f t="shared" si="27"/>
        <v>1700002.4699999997</v>
      </c>
      <c r="BD40" s="257">
        <v>12097.967223262473</v>
      </c>
      <c r="BE40" s="257"/>
      <c r="BF40" s="257"/>
      <c r="BG40" s="257"/>
      <c r="BH40" s="742"/>
      <c r="BI40" s="246">
        <f t="shared" si="28"/>
        <v>1712100.4372232622</v>
      </c>
      <c r="BJ40" s="733">
        <f>BI40-BH40-'Schedule 3A_Income Statement'!CR57</f>
        <v>0</v>
      </c>
      <c r="BL40" s="384">
        <f t="shared" si="29"/>
        <v>3567565.7299999995</v>
      </c>
      <c r="BM40" s="384">
        <f t="shared" si="0"/>
        <v>0</v>
      </c>
      <c r="BN40" s="384">
        <f t="shared" si="1"/>
        <v>3567565.7299999995</v>
      </c>
      <c r="BO40" s="384">
        <f t="shared" si="2"/>
        <v>3399258.9800000004</v>
      </c>
      <c r="BP40" s="384">
        <f t="shared" si="3"/>
        <v>0</v>
      </c>
      <c r="BQ40" s="384">
        <f t="shared" si="4"/>
        <v>3399258.9800000004</v>
      </c>
      <c r="BR40" s="384">
        <f t="shared" si="5"/>
        <v>6966824.71</v>
      </c>
      <c r="BS40" s="384">
        <f t="shared" si="6"/>
        <v>16739.724484920505</v>
      </c>
      <c r="BT40" s="384">
        <f t="shared" si="7"/>
        <v>0</v>
      </c>
      <c r="BU40" s="384">
        <f t="shared" si="8"/>
        <v>0</v>
      </c>
      <c r="BV40" s="384">
        <f t="shared" si="9"/>
        <v>0</v>
      </c>
      <c r="BW40" s="384">
        <f t="shared" si="10"/>
        <v>0</v>
      </c>
      <c r="BX40" s="384">
        <f t="shared" si="11"/>
        <v>6983564.4344849205</v>
      </c>
      <c r="BY40" s="384">
        <f t="shared" si="12"/>
        <v>0</v>
      </c>
    </row>
    <row r="41" spans="1:77" s="373" customFormat="1" x14ac:dyDescent="0.25">
      <c r="A41" s="730">
        <v>22</v>
      </c>
      <c r="B41" s="129" t="s">
        <v>230</v>
      </c>
      <c r="C41" s="721" t="s">
        <v>203</v>
      </c>
      <c r="D41" s="257">
        <v>14287</v>
      </c>
      <c r="E41" s="257"/>
      <c r="F41" s="384">
        <f t="shared" si="13"/>
        <v>14287</v>
      </c>
      <c r="G41" s="257">
        <v>40134.050000000003</v>
      </c>
      <c r="H41" s="257"/>
      <c r="I41" s="384">
        <f t="shared" si="14"/>
        <v>40134.050000000003</v>
      </c>
      <c r="J41" s="384">
        <f t="shared" si="15"/>
        <v>54421.05</v>
      </c>
      <c r="K41" s="257">
        <v>-4.2158354292519078E-11</v>
      </c>
      <c r="L41" s="257"/>
      <c r="M41" s="257"/>
      <c r="N41" s="257"/>
      <c r="O41" s="742"/>
      <c r="P41" s="246">
        <f t="shared" si="16"/>
        <v>54421.049999999959</v>
      </c>
      <c r="Q41" s="733">
        <f>P41-O41-'Schedule 3A_Income Statement'!CO58</f>
        <v>0</v>
      </c>
      <c r="R41" s="247"/>
      <c r="S41" s="257">
        <v>3120.6800000000003</v>
      </c>
      <c r="T41" s="257"/>
      <c r="U41" s="384">
        <f t="shared" si="17"/>
        <v>3120.6800000000003</v>
      </c>
      <c r="V41" s="257">
        <v>48749.86</v>
      </c>
      <c r="W41" s="257"/>
      <c r="X41" s="384">
        <f t="shared" si="18"/>
        <v>48749.86</v>
      </c>
      <c r="Y41" s="384">
        <f t="shared" si="19"/>
        <v>51870.54</v>
      </c>
      <c r="Z41" s="257">
        <v>6.9676817454445565</v>
      </c>
      <c r="AA41" s="257"/>
      <c r="AB41" s="257"/>
      <c r="AC41" s="257"/>
      <c r="AD41" s="742"/>
      <c r="AE41" s="246">
        <f t="shared" si="20"/>
        <v>51877.507681745446</v>
      </c>
      <c r="AF41" s="733">
        <f>AE41-AD41-'Schedule 3A_Income Statement'!CP58</f>
        <v>0</v>
      </c>
      <c r="AG41" s="247"/>
      <c r="AH41" s="257">
        <v>6506.2000000000007</v>
      </c>
      <c r="AI41" s="257"/>
      <c r="AJ41" s="384">
        <f t="shared" si="21"/>
        <v>6506.2000000000007</v>
      </c>
      <c r="AK41" s="257">
        <v>90908.42</v>
      </c>
      <c r="AL41" s="257"/>
      <c r="AM41" s="384">
        <f t="shared" si="22"/>
        <v>90908.42</v>
      </c>
      <c r="AN41" s="384">
        <f t="shared" si="23"/>
        <v>97414.62</v>
      </c>
      <c r="AO41" s="257">
        <v>143.60939005332949</v>
      </c>
      <c r="AP41" s="257"/>
      <c r="AQ41" s="257"/>
      <c r="AR41" s="257"/>
      <c r="AS41" s="742"/>
      <c r="AT41" s="246">
        <f t="shared" si="24"/>
        <v>97558.229390053326</v>
      </c>
      <c r="AU41" s="733">
        <f>AT41-AS41-'Schedule 3A_Income Statement'!CQ58</f>
        <v>0</v>
      </c>
      <c r="AV41" s="247"/>
      <c r="AW41" s="257">
        <v>3213.2400000000025</v>
      </c>
      <c r="AX41" s="257"/>
      <c r="AY41" s="384">
        <f t="shared" si="25"/>
        <v>3213.2400000000025</v>
      </c>
      <c r="AZ41" s="257">
        <v>62458.34</v>
      </c>
      <c r="BA41" s="257"/>
      <c r="BB41" s="384">
        <f t="shared" si="26"/>
        <v>62458.34</v>
      </c>
      <c r="BC41" s="384">
        <f t="shared" si="27"/>
        <v>65671.58</v>
      </c>
      <c r="BD41" s="257">
        <v>367.24304227798552</v>
      </c>
      <c r="BE41" s="257"/>
      <c r="BF41" s="257"/>
      <c r="BG41" s="257"/>
      <c r="BH41" s="742"/>
      <c r="BI41" s="246">
        <f t="shared" si="28"/>
        <v>66038.823042277989</v>
      </c>
      <c r="BJ41" s="733">
        <f>BI41-BH41-'Schedule 3A_Income Statement'!CR58</f>
        <v>0</v>
      </c>
      <c r="BL41" s="384">
        <f t="shared" si="29"/>
        <v>27127.120000000003</v>
      </c>
      <c r="BM41" s="384">
        <f t="shared" si="0"/>
        <v>0</v>
      </c>
      <c r="BN41" s="384">
        <f t="shared" si="1"/>
        <v>27127.120000000003</v>
      </c>
      <c r="BO41" s="384">
        <f t="shared" si="2"/>
        <v>242250.67</v>
      </c>
      <c r="BP41" s="384">
        <f t="shared" si="3"/>
        <v>0</v>
      </c>
      <c r="BQ41" s="384">
        <f t="shared" si="4"/>
        <v>242250.67</v>
      </c>
      <c r="BR41" s="384">
        <f t="shared" si="5"/>
        <v>269377.78999999998</v>
      </c>
      <c r="BS41" s="384">
        <f t="shared" si="6"/>
        <v>517.82011407671735</v>
      </c>
      <c r="BT41" s="384">
        <f t="shared" si="7"/>
        <v>0</v>
      </c>
      <c r="BU41" s="384">
        <f t="shared" si="8"/>
        <v>0</v>
      </c>
      <c r="BV41" s="384">
        <f t="shared" si="9"/>
        <v>0</v>
      </c>
      <c r="BW41" s="384">
        <f t="shared" si="10"/>
        <v>0</v>
      </c>
      <c r="BX41" s="384">
        <f t="shared" si="11"/>
        <v>269895.61011407676</v>
      </c>
      <c r="BY41" s="384">
        <f t="shared" si="12"/>
        <v>0</v>
      </c>
    </row>
    <row r="42" spans="1:77" s="373" customFormat="1" x14ac:dyDescent="0.25">
      <c r="A42" s="731">
        <v>23</v>
      </c>
      <c r="B42" s="131" t="s">
        <v>231</v>
      </c>
      <c r="C42" s="737" t="s">
        <v>234</v>
      </c>
      <c r="D42" s="257">
        <v>11011.270000000002</v>
      </c>
      <c r="E42" s="257"/>
      <c r="F42" s="384">
        <f t="shared" si="13"/>
        <v>11011.270000000002</v>
      </c>
      <c r="G42" s="257">
        <v>41325.009999999995</v>
      </c>
      <c r="H42" s="257"/>
      <c r="I42" s="384">
        <f t="shared" si="14"/>
        <v>41325.009999999995</v>
      </c>
      <c r="J42" s="384">
        <f t="shared" si="15"/>
        <v>52336.28</v>
      </c>
      <c r="K42" s="257">
        <v>-4.3177496592264985E-11</v>
      </c>
      <c r="L42" s="257"/>
      <c r="M42" s="257"/>
      <c r="N42" s="257"/>
      <c r="O42" s="742"/>
      <c r="P42" s="246">
        <f t="shared" si="16"/>
        <v>52336.279999999955</v>
      </c>
      <c r="Q42" s="733">
        <f>P42-O42-'Schedule 3A_Income Statement'!CO59</f>
        <v>0</v>
      </c>
      <c r="R42" s="247"/>
      <c r="S42" s="257">
        <v>15189.130000000001</v>
      </c>
      <c r="T42" s="257"/>
      <c r="U42" s="384">
        <f t="shared" si="17"/>
        <v>15189.130000000001</v>
      </c>
      <c r="V42" s="257">
        <v>45462.16</v>
      </c>
      <c r="W42" s="257"/>
      <c r="X42" s="384">
        <f t="shared" si="18"/>
        <v>45462.16</v>
      </c>
      <c r="Y42" s="384">
        <f t="shared" si="19"/>
        <v>60651.290000000008</v>
      </c>
      <c r="Z42" s="257">
        <v>13.907822205044592</v>
      </c>
      <c r="AA42" s="257"/>
      <c r="AB42" s="257"/>
      <c r="AC42" s="257"/>
      <c r="AD42" s="742"/>
      <c r="AE42" s="246">
        <f t="shared" si="20"/>
        <v>60665.197822205053</v>
      </c>
      <c r="AF42" s="733">
        <f>AE42-AD42-'Schedule 3A_Income Statement'!CP59</f>
        <v>0</v>
      </c>
      <c r="AG42" s="247"/>
      <c r="AH42" s="257">
        <v>30802.23000000001</v>
      </c>
      <c r="AI42" s="257"/>
      <c r="AJ42" s="384">
        <f t="shared" si="21"/>
        <v>30802.23000000001</v>
      </c>
      <c r="AK42" s="257">
        <v>59001.5</v>
      </c>
      <c r="AL42" s="257"/>
      <c r="AM42" s="384">
        <f t="shared" si="22"/>
        <v>59001.5</v>
      </c>
      <c r="AN42" s="384">
        <f t="shared" si="23"/>
        <v>89803.73000000001</v>
      </c>
      <c r="AO42" s="257">
        <v>174.43180962362388</v>
      </c>
      <c r="AP42" s="257"/>
      <c r="AQ42" s="257"/>
      <c r="AR42" s="257"/>
      <c r="AS42" s="742"/>
      <c r="AT42" s="246">
        <f t="shared" si="24"/>
        <v>89978.161809623634</v>
      </c>
      <c r="AU42" s="733">
        <f>AT42-AS42-'Schedule 3A_Income Statement'!CQ59</f>
        <v>0</v>
      </c>
      <c r="AV42" s="247"/>
      <c r="AW42" s="257">
        <v>37265.859999999971</v>
      </c>
      <c r="AX42" s="257"/>
      <c r="AY42" s="384">
        <f t="shared" si="25"/>
        <v>37265.859999999971</v>
      </c>
      <c r="AZ42" s="257">
        <v>67402.679999999993</v>
      </c>
      <c r="BA42" s="257"/>
      <c r="BB42" s="384">
        <f t="shared" si="26"/>
        <v>67402.679999999993</v>
      </c>
      <c r="BC42" s="384">
        <f t="shared" si="27"/>
        <v>104668.53999999996</v>
      </c>
      <c r="BD42" s="257">
        <v>686.0298494660417</v>
      </c>
      <c r="BE42" s="257"/>
      <c r="BF42" s="257"/>
      <c r="BG42" s="257"/>
      <c r="BH42" s="742"/>
      <c r="BI42" s="246">
        <f t="shared" si="28"/>
        <v>105354.569849466</v>
      </c>
      <c r="BJ42" s="733">
        <f>BI42-BH42-'Schedule 3A_Income Statement'!CR59</f>
        <v>0</v>
      </c>
      <c r="BL42" s="384">
        <f t="shared" si="29"/>
        <v>94268.489999999991</v>
      </c>
      <c r="BM42" s="384">
        <f t="shared" si="0"/>
        <v>0</v>
      </c>
      <c r="BN42" s="384">
        <f t="shared" si="1"/>
        <v>94268.489999999991</v>
      </c>
      <c r="BO42" s="384">
        <f t="shared" si="2"/>
        <v>213191.34999999998</v>
      </c>
      <c r="BP42" s="384">
        <f t="shared" si="3"/>
        <v>0</v>
      </c>
      <c r="BQ42" s="384">
        <f t="shared" si="4"/>
        <v>213191.34999999998</v>
      </c>
      <c r="BR42" s="384">
        <f t="shared" si="5"/>
        <v>307459.83999999997</v>
      </c>
      <c r="BS42" s="384">
        <f t="shared" si="6"/>
        <v>874.36948129466703</v>
      </c>
      <c r="BT42" s="384">
        <f t="shared" si="7"/>
        <v>0</v>
      </c>
      <c r="BU42" s="384">
        <f t="shared" si="8"/>
        <v>0</v>
      </c>
      <c r="BV42" s="384">
        <f t="shared" si="9"/>
        <v>0</v>
      </c>
      <c r="BW42" s="384">
        <f t="shared" si="10"/>
        <v>0</v>
      </c>
      <c r="BX42" s="384">
        <f t="shared" si="11"/>
        <v>308334.20948129462</v>
      </c>
      <c r="BY42" s="384">
        <f t="shared" si="12"/>
        <v>0</v>
      </c>
    </row>
    <row r="43" spans="1:77" s="373" customFormat="1" ht="15" customHeight="1" x14ac:dyDescent="0.25">
      <c r="A43" s="730">
        <v>24</v>
      </c>
      <c r="B43" s="688" t="s">
        <v>1508</v>
      </c>
      <c r="C43" s="129" t="s">
        <v>234</v>
      </c>
      <c r="D43" s="257">
        <f>'Schedule 3A_Income Statement'!CJ60</f>
        <v>0</v>
      </c>
      <c r="E43" s="257"/>
      <c r="F43" s="384">
        <f t="shared" si="13"/>
        <v>0</v>
      </c>
      <c r="G43" s="257">
        <f>'Schedule 3A_Income Statement'!CE60</f>
        <v>2756668.4999999995</v>
      </c>
      <c r="H43" s="257"/>
      <c r="I43" s="384">
        <f t="shared" si="14"/>
        <v>2756668.4999999995</v>
      </c>
      <c r="J43" s="384">
        <f t="shared" si="15"/>
        <v>2756668.4999999995</v>
      </c>
      <c r="K43" s="257"/>
      <c r="L43" s="257"/>
      <c r="M43" s="257"/>
      <c r="N43" s="257"/>
      <c r="O43" s="742"/>
      <c r="P43" s="246">
        <f t="shared" si="16"/>
        <v>2756668.4999999995</v>
      </c>
      <c r="Q43" s="733">
        <f>P43-O43-'Schedule 3A_Income Statement'!CO60</f>
        <v>0</v>
      </c>
      <c r="R43" s="247"/>
      <c r="S43" s="257">
        <f>'Schedule 3A_Income Statement'!CK60</f>
        <v>0</v>
      </c>
      <c r="T43" s="257"/>
      <c r="U43" s="384">
        <f t="shared" si="17"/>
        <v>0</v>
      </c>
      <c r="V43" s="257">
        <f>'Schedule 3A_Income Statement'!CF60</f>
        <v>2887141.75</v>
      </c>
      <c r="W43" s="257"/>
      <c r="X43" s="384">
        <f t="shared" si="18"/>
        <v>2887141.75</v>
      </c>
      <c r="Y43" s="384">
        <f t="shared" si="19"/>
        <v>2887141.75</v>
      </c>
      <c r="Z43" s="257"/>
      <c r="AA43" s="257"/>
      <c r="AB43" s="257"/>
      <c r="AC43" s="257"/>
      <c r="AD43" s="742"/>
      <c r="AE43" s="246">
        <f t="shared" si="20"/>
        <v>2887141.75</v>
      </c>
      <c r="AF43" s="733">
        <f>AE43-AD43-'Schedule 3A_Income Statement'!CP60</f>
        <v>0</v>
      </c>
      <c r="AG43" s="247"/>
      <c r="AH43" s="257">
        <f>'Schedule 3A_Income Statement'!CL60</f>
        <v>0</v>
      </c>
      <c r="AI43" s="257"/>
      <c r="AJ43" s="384">
        <f t="shared" si="21"/>
        <v>0</v>
      </c>
      <c r="AK43" s="257">
        <f>'Schedule 3A_Income Statement'!CG60</f>
        <v>3017703.39</v>
      </c>
      <c r="AL43" s="257"/>
      <c r="AM43" s="384">
        <f t="shared" si="22"/>
        <v>3017703.39</v>
      </c>
      <c r="AN43" s="384">
        <f t="shared" si="23"/>
        <v>3017703.39</v>
      </c>
      <c r="AO43" s="257"/>
      <c r="AP43" s="257"/>
      <c r="AQ43" s="257"/>
      <c r="AR43" s="257"/>
      <c r="AS43" s="742"/>
      <c r="AT43" s="246">
        <f t="shared" si="24"/>
        <v>3017703.39</v>
      </c>
      <c r="AU43" s="733">
        <f>AT43-AS43-'Schedule 3A_Income Statement'!CQ60</f>
        <v>0</v>
      </c>
      <c r="AV43" s="247"/>
      <c r="AW43" s="257">
        <f>'Schedule 3A_Income Statement'!CM60</f>
        <v>0</v>
      </c>
      <c r="AX43" s="257"/>
      <c r="AY43" s="384">
        <f t="shared" si="25"/>
        <v>0</v>
      </c>
      <c r="AZ43" s="257">
        <f>'Schedule 3A_Income Statement'!CH60</f>
        <v>3143757.3600000008</v>
      </c>
      <c r="BA43" s="257"/>
      <c r="BB43" s="384">
        <f t="shared" si="26"/>
        <v>3143757.3600000008</v>
      </c>
      <c r="BC43" s="384">
        <f t="shared" si="27"/>
        <v>3143757.3600000008</v>
      </c>
      <c r="BD43" s="257"/>
      <c r="BE43" s="257"/>
      <c r="BF43" s="257"/>
      <c r="BG43" s="257"/>
      <c r="BH43" s="742"/>
      <c r="BI43" s="246">
        <f t="shared" si="28"/>
        <v>3143757.3600000008</v>
      </c>
      <c r="BJ43" s="733">
        <f>BI43-BH43-'Schedule 3A_Income Statement'!CR60</f>
        <v>0</v>
      </c>
      <c r="BL43" s="384">
        <f t="shared" si="29"/>
        <v>0</v>
      </c>
      <c r="BM43" s="384">
        <f t="shared" si="0"/>
        <v>0</v>
      </c>
      <c r="BN43" s="384">
        <f t="shared" si="1"/>
        <v>0</v>
      </c>
      <c r="BO43" s="384">
        <f t="shared" si="2"/>
        <v>11805271.000000002</v>
      </c>
      <c r="BP43" s="384">
        <f t="shared" si="3"/>
        <v>0</v>
      </c>
      <c r="BQ43" s="384">
        <f t="shared" si="4"/>
        <v>11805271.000000002</v>
      </c>
      <c r="BR43" s="384">
        <f t="shared" si="5"/>
        <v>11805271.000000002</v>
      </c>
      <c r="BS43" s="384">
        <f t="shared" si="6"/>
        <v>0</v>
      </c>
      <c r="BT43" s="384">
        <f t="shared" si="7"/>
        <v>0</v>
      </c>
      <c r="BU43" s="384">
        <f t="shared" si="8"/>
        <v>0</v>
      </c>
      <c r="BV43" s="384">
        <f t="shared" si="9"/>
        <v>0</v>
      </c>
      <c r="BW43" s="384">
        <f t="shared" si="10"/>
        <v>0</v>
      </c>
      <c r="BX43" s="384">
        <f t="shared" si="11"/>
        <v>11805271.000000002</v>
      </c>
      <c r="BY43" s="384">
        <f t="shared" si="12"/>
        <v>0</v>
      </c>
    </row>
    <row r="44" spans="1:77" s="373" customFormat="1" x14ac:dyDescent="0.25">
      <c r="A44" s="730">
        <v>25</v>
      </c>
      <c r="B44" s="129" t="s">
        <v>286</v>
      </c>
      <c r="C44" s="717" t="s">
        <v>234</v>
      </c>
      <c r="D44" s="257">
        <f>'Schedule 3A_Income Statement'!CJ61</f>
        <v>4090522.38</v>
      </c>
      <c r="E44" s="257"/>
      <c r="F44" s="384">
        <f t="shared" si="13"/>
        <v>4090522.38</v>
      </c>
      <c r="G44" s="257">
        <f>'Schedule 3A_Income Statement'!CE61</f>
        <v>1058902.6099999999</v>
      </c>
      <c r="H44" s="257"/>
      <c r="I44" s="384">
        <f t="shared" si="14"/>
        <v>1058902.6099999999</v>
      </c>
      <c r="J44" s="384">
        <f t="shared" si="15"/>
        <v>5149424.99</v>
      </c>
      <c r="K44" s="257"/>
      <c r="L44" s="257"/>
      <c r="M44" s="257"/>
      <c r="N44" s="257"/>
      <c r="O44" s="742"/>
      <c r="P44" s="246">
        <f t="shared" si="16"/>
        <v>5149424.99</v>
      </c>
      <c r="Q44" s="733">
        <f>P44-O44-'Schedule 3A_Income Statement'!CO61</f>
        <v>0</v>
      </c>
      <c r="R44" s="247"/>
      <c r="S44" s="257">
        <f>'Schedule 3A_Income Statement'!CK61</f>
        <v>4540933.1845296621</v>
      </c>
      <c r="T44" s="257"/>
      <c r="U44" s="384">
        <f t="shared" si="17"/>
        <v>4540933.1845296621</v>
      </c>
      <c r="V44" s="257">
        <f>'Schedule 3A_Income Statement'!CF61</f>
        <v>1150842.9566143756</v>
      </c>
      <c r="W44" s="257"/>
      <c r="X44" s="384">
        <f t="shared" si="18"/>
        <v>1150842.9566143756</v>
      </c>
      <c r="Y44" s="384">
        <f t="shared" si="19"/>
        <v>5691776.1411440372</v>
      </c>
      <c r="Z44" s="257"/>
      <c r="AA44" s="257"/>
      <c r="AB44" s="257"/>
      <c r="AC44" s="257"/>
      <c r="AD44" s="742"/>
      <c r="AE44" s="246">
        <f t="shared" si="20"/>
        <v>5691776.1411440372</v>
      </c>
      <c r="AF44" s="733">
        <f>AE44-AD44-'Schedule 3A_Income Statement'!CP61</f>
        <v>0</v>
      </c>
      <c r="AG44" s="247"/>
      <c r="AH44" s="257">
        <f>'Schedule 3A_Income Statement'!CL61</f>
        <v>4701706.7821936999</v>
      </c>
      <c r="AI44" s="257"/>
      <c r="AJ44" s="384">
        <f t="shared" si="21"/>
        <v>4701706.7821936999</v>
      </c>
      <c r="AK44" s="257">
        <f>'Schedule 3A_Income Statement'!CG61</f>
        <v>1218360.8407790959</v>
      </c>
      <c r="AL44" s="257"/>
      <c r="AM44" s="384">
        <f t="shared" si="22"/>
        <v>1218360.8407790959</v>
      </c>
      <c r="AN44" s="384">
        <f t="shared" si="23"/>
        <v>5920067.6229727957</v>
      </c>
      <c r="AO44" s="257"/>
      <c r="AP44" s="257"/>
      <c r="AQ44" s="257"/>
      <c r="AR44" s="257"/>
      <c r="AS44" s="742"/>
      <c r="AT44" s="246">
        <f t="shared" si="24"/>
        <v>5920067.6229727957</v>
      </c>
      <c r="AU44" s="733">
        <f>AT44-AS44-'Schedule 3A_Income Statement'!CQ61</f>
        <v>0</v>
      </c>
      <c r="AV44" s="247"/>
      <c r="AW44" s="257">
        <f>'Schedule 3A_Income Statement'!CM61</f>
        <v>5001458.5786974989</v>
      </c>
      <c r="AX44" s="257"/>
      <c r="AY44" s="384">
        <f t="shared" si="25"/>
        <v>5001458.5786974989</v>
      </c>
      <c r="AZ44" s="257">
        <f>'Schedule 3A_Income Statement'!CH61</f>
        <v>1013721.6119782897</v>
      </c>
      <c r="BA44" s="257"/>
      <c r="BB44" s="384">
        <f t="shared" si="26"/>
        <v>1013721.6119782897</v>
      </c>
      <c r="BC44" s="384">
        <f t="shared" si="27"/>
        <v>6015180.1906757886</v>
      </c>
      <c r="BD44" s="257"/>
      <c r="BE44" s="257"/>
      <c r="BF44" s="257"/>
      <c r="BG44" s="257"/>
      <c r="BH44" s="742"/>
      <c r="BI44" s="246">
        <f t="shared" si="28"/>
        <v>6015180.1906757886</v>
      </c>
      <c r="BJ44" s="733">
        <f>BI44-BH44-'Schedule 3A_Income Statement'!CR61</f>
        <v>0</v>
      </c>
      <c r="BL44" s="384">
        <f t="shared" si="29"/>
        <v>18334620.925420858</v>
      </c>
      <c r="BM44" s="384">
        <f t="shared" si="0"/>
        <v>0</v>
      </c>
      <c r="BN44" s="384">
        <f t="shared" si="1"/>
        <v>18334620.925420858</v>
      </c>
      <c r="BO44" s="384">
        <f t="shared" si="2"/>
        <v>4441828.019371761</v>
      </c>
      <c r="BP44" s="384">
        <f t="shared" si="3"/>
        <v>0</v>
      </c>
      <c r="BQ44" s="384">
        <f t="shared" si="4"/>
        <v>4441828.019371761</v>
      </c>
      <c r="BR44" s="384">
        <f t="shared" si="5"/>
        <v>22776448.944792621</v>
      </c>
      <c r="BS44" s="384">
        <f t="shared" si="6"/>
        <v>0</v>
      </c>
      <c r="BT44" s="384">
        <f t="shared" si="7"/>
        <v>0</v>
      </c>
      <c r="BU44" s="384">
        <f t="shared" si="8"/>
        <v>0</v>
      </c>
      <c r="BV44" s="384">
        <f t="shared" si="9"/>
        <v>0</v>
      </c>
      <c r="BW44" s="384">
        <f t="shared" si="10"/>
        <v>0</v>
      </c>
      <c r="BX44" s="384">
        <f t="shared" si="11"/>
        <v>22776448.944792621</v>
      </c>
      <c r="BY44" s="384">
        <f t="shared" si="12"/>
        <v>0</v>
      </c>
    </row>
    <row r="45" spans="1:77" s="373" customFormat="1" ht="15" customHeight="1" x14ac:dyDescent="0.25">
      <c r="A45" s="731">
        <v>26</v>
      </c>
      <c r="B45" s="131" t="s">
        <v>205</v>
      </c>
      <c r="C45" s="131"/>
      <c r="D45" s="248">
        <f>SUM(D18:D44)-D27-D29</f>
        <v>51634456.268995591</v>
      </c>
      <c r="E45" s="248">
        <f t="shared" ref="E45:H45" si="46">SUM(E18:E44)-E27-E29</f>
        <v>0</v>
      </c>
      <c r="F45" s="248">
        <f t="shared" si="13"/>
        <v>51634456.268995591</v>
      </c>
      <c r="G45" s="248">
        <f t="shared" ref="G45:O45" si="47">SUM(G18:G44)-G27-G29</f>
        <v>85330451.037550151</v>
      </c>
      <c r="H45" s="248">
        <f t="shared" si="46"/>
        <v>0</v>
      </c>
      <c r="I45" s="248">
        <f t="shared" si="14"/>
        <v>85330451.037550151</v>
      </c>
      <c r="J45" s="248">
        <f t="shared" si="15"/>
        <v>136964907.30654573</v>
      </c>
      <c r="K45" s="248">
        <f>SUM(K18:K44)-K27-K29</f>
        <v>-7.995510501791615E-8</v>
      </c>
      <c r="L45" s="248">
        <f t="shared" si="47"/>
        <v>0</v>
      </c>
      <c r="M45" s="248">
        <f t="shared" si="47"/>
        <v>0</v>
      </c>
      <c r="N45" s="248">
        <f t="shared" si="47"/>
        <v>0</v>
      </c>
      <c r="O45" s="248">
        <f t="shared" si="47"/>
        <v>0</v>
      </c>
      <c r="P45" s="248">
        <f t="shared" si="16"/>
        <v>136964907.30654564</v>
      </c>
      <c r="Q45" s="734">
        <f>P45-O45-(SUM('Schedule 3A_Income Statement'!$CO$35:$CO$61)-'Schedule 3A_Income Statement'!$CO$44-'Schedule 3A_Income Statement'!$CO$46)</f>
        <v>0</v>
      </c>
      <c r="R45" s="247"/>
      <c r="S45" s="248">
        <f>SUM(S18:S44)-S27-S29</f>
        <v>55944433.546341494</v>
      </c>
      <c r="T45" s="248">
        <f t="shared" ref="T45" si="48">SUM(T18:T44)-T27-T29</f>
        <v>0</v>
      </c>
      <c r="U45" s="248">
        <f t="shared" si="17"/>
        <v>55944433.546341494</v>
      </c>
      <c r="V45" s="248">
        <f t="shared" ref="V45" si="49">SUM(V18:V44)-V27-V29</f>
        <v>87830388.374796227</v>
      </c>
      <c r="W45" s="248">
        <f t="shared" ref="W45" si="50">SUM(W18:W44)-W27-W29</f>
        <v>0</v>
      </c>
      <c r="X45" s="248">
        <f t="shared" si="18"/>
        <v>87830388.374796227</v>
      </c>
      <c r="Y45" s="248">
        <f t="shared" si="19"/>
        <v>143774821.92113772</v>
      </c>
      <c r="Z45" s="248">
        <f t="shared" ref="Z45:AC45" si="51">SUM(Z18:Z44)-Z27-Z29</f>
        <v>30768.705547843241</v>
      </c>
      <c r="AA45" s="248">
        <f t="shared" si="51"/>
        <v>0</v>
      </c>
      <c r="AB45" s="248">
        <f t="shared" si="51"/>
        <v>0</v>
      </c>
      <c r="AC45" s="248">
        <f t="shared" si="51"/>
        <v>0</v>
      </c>
      <c r="AD45" s="248">
        <f t="shared" ref="AD45" si="52">SUM(AD18:AD44)-AD27-AD29</f>
        <v>0</v>
      </c>
      <c r="AE45" s="248">
        <f t="shared" si="20"/>
        <v>143805590.62668556</v>
      </c>
      <c r="AF45" s="734">
        <f>AE45-AD45-(SUM('Schedule 3A_Income Statement'!$CP$35:$CP$61)-'Schedule 3A_Income Statement'!$CP$44-'Schedule 3A_Income Statement'!$CP$46)</f>
        <v>0</v>
      </c>
      <c r="AG45" s="247"/>
      <c r="AH45" s="248">
        <f>SUM(AH18:AH44)-AH27-AH29</f>
        <v>58735573.361059718</v>
      </c>
      <c r="AI45" s="248">
        <f t="shared" ref="AI45" si="53">SUM(AI18:AI44)-AI27-AI29</f>
        <v>0</v>
      </c>
      <c r="AJ45" s="248">
        <f t="shared" si="21"/>
        <v>58735573.361059718</v>
      </c>
      <c r="AK45" s="248">
        <f t="shared" ref="AK45" si="54">SUM(AK18:AK44)-AK27-AK29</f>
        <v>94002357.516501293</v>
      </c>
      <c r="AL45" s="248">
        <f t="shared" ref="AL45" si="55">SUM(AL18:AL44)-AL27-AL29</f>
        <v>0</v>
      </c>
      <c r="AM45" s="248">
        <f t="shared" si="22"/>
        <v>94002357.516501293</v>
      </c>
      <c r="AN45" s="248">
        <f t="shared" si="23"/>
        <v>152737930.877561</v>
      </c>
      <c r="AO45" s="248">
        <f t="shared" ref="AO45:AR45" si="56">SUM(AO18:AO44)-AO27-AO29</f>
        <v>230370.14086213114</v>
      </c>
      <c r="AP45" s="248">
        <f t="shared" si="56"/>
        <v>0</v>
      </c>
      <c r="AQ45" s="248">
        <f t="shared" si="56"/>
        <v>0</v>
      </c>
      <c r="AR45" s="248">
        <f t="shared" si="56"/>
        <v>0</v>
      </c>
      <c r="AS45" s="248">
        <f t="shared" ref="AS45" si="57">SUM(AS18:AS44)-AS27-AS29</f>
        <v>0</v>
      </c>
      <c r="AT45" s="248">
        <f t="shared" si="24"/>
        <v>152968301.01842314</v>
      </c>
      <c r="AU45" s="734">
        <f>AT45-AS45-(SUM('Schedule 3A_Income Statement'!$CQ$35:$CQ$61)-'Schedule 3A_Income Statement'!$CQ$44-'Schedule 3A_Income Statement'!$CQ$46)</f>
        <v>0</v>
      </c>
      <c r="AV45" s="247"/>
      <c r="AW45" s="248">
        <f>SUM(AW18:AW44)-AW27-AW29</f>
        <v>61024200.089137301</v>
      </c>
      <c r="AX45" s="248">
        <f t="shared" ref="AX45" si="58">SUM(AX18:AX44)-AX27-AX29</f>
        <v>0</v>
      </c>
      <c r="AY45" s="248">
        <f t="shared" si="25"/>
        <v>61024200.089137301</v>
      </c>
      <c r="AZ45" s="248">
        <f t="shared" ref="AZ45" si="59">SUM(AZ18:AZ44)-AZ27-AZ29</f>
        <v>98884884.680443928</v>
      </c>
      <c r="BA45" s="248">
        <f t="shared" ref="BA45" si="60">SUM(BA18:BA44)-BA27-BA29</f>
        <v>0</v>
      </c>
      <c r="BB45" s="248">
        <f t="shared" si="26"/>
        <v>98884884.680443928</v>
      </c>
      <c r="BC45" s="248">
        <f t="shared" si="27"/>
        <v>159909084.76958123</v>
      </c>
      <c r="BD45" s="248">
        <f t="shared" ref="BD45:BG45" si="61">SUM(BD18:BD44)-BD27-BD29</f>
        <v>809812.2777056261</v>
      </c>
      <c r="BE45" s="248">
        <f t="shared" si="61"/>
        <v>0</v>
      </c>
      <c r="BF45" s="248">
        <f t="shared" si="61"/>
        <v>0</v>
      </c>
      <c r="BG45" s="248">
        <f t="shared" si="61"/>
        <v>0</v>
      </c>
      <c r="BH45" s="248">
        <f t="shared" ref="BH45" si="62">SUM(BH18:BH44)-BH27-BH29</f>
        <v>0</v>
      </c>
      <c r="BI45" s="248">
        <f t="shared" si="28"/>
        <v>160718897.04728687</v>
      </c>
      <c r="BJ45" s="734">
        <f>BI45-BH45-(SUM('Schedule 3A_Income Statement'!$CR$35:$CR$61)-'Schedule 3A_Income Statement'!$CR$44-'Schedule 3A_Income Statement'!$CR$46)</f>
        <v>0</v>
      </c>
      <c r="BL45" s="384">
        <f t="shared" si="29"/>
        <v>227338663.2655341</v>
      </c>
      <c r="BM45" s="384">
        <f t="shared" si="0"/>
        <v>0</v>
      </c>
      <c r="BN45" s="384">
        <f t="shared" si="1"/>
        <v>227338663.2655341</v>
      </c>
      <c r="BO45" s="384">
        <f t="shared" si="2"/>
        <v>366048081.60929161</v>
      </c>
      <c r="BP45" s="384">
        <f t="shared" si="3"/>
        <v>0</v>
      </c>
      <c r="BQ45" s="384">
        <f t="shared" si="4"/>
        <v>366048081.60929161</v>
      </c>
      <c r="BR45" s="384">
        <f t="shared" si="5"/>
        <v>593386744.8748256</v>
      </c>
      <c r="BS45" s="384">
        <f t="shared" si="6"/>
        <v>1070951.1241155206</v>
      </c>
      <c r="BT45" s="384">
        <f t="shared" si="7"/>
        <v>0</v>
      </c>
      <c r="BU45" s="384">
        <f t="shared" si="8"/>
        <v>0</v>
      </c>
      <c r="BV45" s="384">
        <f t="shared" si="9"/>
        <v>0</v>
      </c>
      <c r="BW45" s="384">
        <f t="shared" si="10"/>
        <v>0</v>
      </c>
      <c r="BX45" s="384">
        <f t="shared" si="11"/>
        <v>594457695.99894118</v>
      </c>
      <c r="BY45" s="384">
        <f t="shared" si="12"/>
        <v>0</v>
      </c>
    </row>
    <row r="46" spans="1:77" s="373" customFormat="1" ht="15" customHeight="1" x14ac:dyDescent="0.25">
      <c r="A46" s="693"/>
      <c r="B46" s="260"/>
      <c r="C46" s="260"/>
      <c r="D46" s="158"/>
      <c r="E46" s="158"/>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L46" s="158"/>
      <c r="BM46" s="158"/>
      <c r="BN46" s="158"/>
      <c r="BO46" s="158"/>
      <c r="BP46" s="158"/>
      <c r="BQ46" s="158"/>
      <c r="BR46" s="158"/>
      <c r="BS46" s="158"/>
      <c r="BT46" s="158"/>
      <c r="BU46" s="158"/>
      <c r="BV46" s="158"/>
      <c r="BW46" s="158"/>
      <c r="BX46" s="158"/>
      <c r="BY46" s="158"/>
    </row>
    <row r="47" spans="1:77" s="373" customFormat="1" x14ac:dyDescent="0.25">
      <c r="A47" s="691">
        <v>27</v>
      </c>
      <c r="B47" s="131" t="s">
        <v>201</v>
      </c>
      <c r="C47" s="131" t="s">
        <v>201</v>
      </c>
      <c r="D47" s="384">
        <f t="shared" ref="D47:H52" si="63">SUMIF($C$18:$C$45,$C47,D$18:D$45)</f>
        <v>2873.11</v>
      </c>
      <c r="E47" s="384">
        <f t="shared" si="63"/>
        <v>0</v>
      </c>
      <c r="F47" s="384">
        <f t="shared" si="13"/>
        <v>2873.11</v>
      </c>
      <c r="G47" s="384">
        <f t="shared" si="63"/>
        <v>3957052.52</v>
      </c>
      <c r="H47" s="384">
        <f t="shared" si="63"/>
        <v>0</v>
      </c>
      <c r="I47" s="384">
        <f t="shared" ref="I47:I52" si="64">SUM(G47:H47)</f>
        <v>3957052.52</v>
      </c>
      <c r="J47" s="384">
        <f t="shared" ref="J47:J52" si="65">F47+I47</f>
        <v>3959925.63</v>
      </c>
      <c r="K47" s="384">
        <f t="shared" ref="K47:O52" si="66">SUMIF($C$18:$C$45,$C47,K$18:K$45)</f>
        <v>-7.5566619316704666E-13</v>
      </c>
      <c r="L47" s="384">
        <f t="shared" si="66"/>
        <v>0</v>
      </c>
      <c r="M47" s="384">
        <f t="shared" si="66"/>
        <v>0</v>
      </c>
      <c r="N47" s="384">
        <f t="shared" si="66"/>
        <v>0</v>
      </c>
      <c r="O47" s="384">
        <f t="shared" si="66"/>
        <v>0</v>
      </c>
      <c r="P47" s="385">
        <f t="shared" ref="P47:P52" si="67">SUM(J47:N47)</f>
        <v>3959925.63</v>
      </c>
      <c r="Q47" s="719"/>
      <c r="R47" s="158"/>
      <c r="S47" s="384">
        <f t="shared" ref="S47:W52" si="68">SUMIF($C$18:$C$45,$C47,S$18:S$45)</f>
        <v>938.8900000000001</v>
      </c>
      <c r="T47" s="384">
        <f t="shared" si="68"/>
        <v>0</v>
      </c>
      <c r="U47" s="384">
        <f t="shared" ref="U47:U52" si="69">SUM(S47:T47)</f>
        <v>938.8900000000001</v>
      </c>
      <c r="V47" s="384">
        <f t="shared" si="68"/>
        <v>4452100.09</v>
      </c>
      <c r="W47" s="384">
        <f t="shared" si="68"/>
        <v>0</v>
      </c>
      <c r="X47" s="384">
        <f t="shared" ref="X47:X52" si="70">SUM(V47:W47)</f>
        <v>4452100.09</v>
      </c>
      <c r="Y47" s="384">
        <f t="shared" ref="Y47:Y52" si="71">U47+X47</f>
        <v>4453038.9799999995</v>
      </c>
      <c r="Z47" s="384">
        <f t="shared" ref="Z47:AD52" si="72">SUMIF($C$18:$C$45,$C47,Z$18:Z$45)</f>
        <v>0.60632514641293278</v>
      </c>
      <c r="AA47" s="384">
        <f t="shared" si="72"/>
        <v>0</v>
      </c>
      <c r="AB47" s="384">
        <f t="shared" si="72"/>
        <v>0</v>
      </c>
      <c r="AC47" s="384">
        <f t="shared" si="72"/>
        <v>0</v>
      </c>
      <c r="AD47" s="384">
        <f t="shared" si="72"/>
        <v>0</v>
      </c>
      <c r="AE47" s="385">
        <f t="shared" ref="AE47:AE52" si="73">SUM(Y47:AC47)</f>
        <v>4453039.5863251463</v>
      </c>
      <c r="AF47" s="719"/>
      <c r="AG47" s="158"/>
      <c r="AH47" s="384">
        <f t="shared" ref="AH47:AL52" si="74">SUMIF($C$18:$C$45,$C47,AH$18:AH$45)</f>
        <v>4693.12</v>
      </c>
      <c r="AI47" s="384">
        <f t="shared" si="74"/>
        <v>0</v>
      </c>
      <c r="AJ47" s="384">
        <f t="shared" ref="AJ47:AJ52" si="75">SUM(AH47:AI47)</f>
        <v>4693.12</v>
      </c>
      <c r="AK47" s="384">
        <f t="shared" si="74"/>
        <v>4332957.78</v>
      </c>
      <c r="AL47" s="384">
        <f t="shared" si="74"/>
        <v>0</v>
      </c>
      <c r="AM47" s="384">
        <f t="shared" ref="AM47:AM52" si="76">SUM(AK47:AL47)</f>
        <v>4332957.78</v>
      </c>
      <c r="AN47" s="384">
        <f t="shared" ref="AN47:AN52" si="77">AJ47+AM47</f>
        <v>4337650.9000000004</v>
      </c>
      <c r="AO47" s="384">
        <f t="shared" ref="AO47:AS52" si="78">SUMIF($C$18:$C$45,$C47,AO$18:AO$45)</f>
        <v>16.178172498483274</v>
      </c>
      <c r="AP47" s="384">
        <f t="shared" si="78"/>
        <v>0</v>
      </c>
      <c r="AQ47" s="384">
        <f t="shared" si="78"/>
        <v>0</v>
      </c>
      <c r="AR47" s="384">
        <f t="shared" si="78"/>
        <v>0</v>
      </c>
      <c r="AS47" s="384">
        <f t="shared" si="78"/>
        <v>0</v>
      </c>
      <c r="AT47" s="385">
        <f t="shared" ref="AT47:AT52" si="79">SUM(AN47:AR47)</f>
        <v>4337667.0781724993</v>
      </c>
      <c r="AU47" s="719"/>
      <c r="AV47" s="158"/>
      <c r="AW47" s="384">
        <f t="shared" ref="AW47:BA52" si="80">SUMIF($C$18:$C$45,$C47,AW$18:AW$45)</f>
        <v>1943.0200000000004</v>
      </c>
      <c r="AX47" s="384">
        <f t="shared" si="80"/>
        <v>0</v>
      </c>
      <c r="AY47" s="384">
        <f t="shared" ref="AY47:AY52" si="81">SUM(AW47:AX47)</f>
        <v>1943.0200000000004</v>
      </c>
      <c r="AZ47" s="384">
        <f t="shared" si="80"/>
        <v>5071359.6899999995</v>
      </c>
      <c r="BA47" s="384">
        <f t="shared" si="80"/>
        <v>0</v>
      </c>
      <c r="BB47" s="384">
        <f t="shared" ref="BB47:BB52" si="82">SUM(AZ47:BA47)</f>
        <v>5071359.6899999995</v>
      </c>
      <c r="BC47" s="384">
        <f t="shared" ref="BC47:BC52" si="83">AY47+BB47</f>
        <v>5073302.709999999</v>
      </c>
      <c r="BD47" s="384">
        <f t="shared" ref="BD47:BH52" si="84">SUMIF($C$18:$C$45,$C47,BD$18:BD$45)</f>
        <v>19.144109642412026</v>
      </c>
      <c r="BE47" s="384">
        <f t="shared" si="84"/>
        <v>0</v>
      </c>
      <c r="BF47" s="384">
        <f t="shared" si="84"/>
        <v>0</v>
      </c>
      <c r="BG47" s="384">
        <f t="shared" si="84"/>
        <v>0</v>
      </c>
      <c r="BH47" s="384">
        <f t="shared" si="84"/>
        <v>0</v>
      </c>
      <c r="BI47" s="385">
        <f t="shared" ref="BI47:BI52" si="85">SUM(BC47:BG47)</f>
        <v>5073321.8541096412</v>
      </c>
      <c r="BJ47" s="719"/>
      <c r="BL47" s="384">
        <f t="shared" ref="BL47:BL52" si="86">D47+S47+AH47+AW47</f>
        <v>10448.14</v>
      </c>
      <c r="BM47" s="384">
        <f t="shared" ref="BM47:BM52" si="87">E47+T47+AI47+AX47</f>
        <v>0</v>
      </c>
      <c r="BN47" s="384">
        <f t="shared" ref="BN47:BN52" si="88">F47+U47+AJ47+AY47</f>
        <v>10448.14</v>
      </c>
      <c r="BO47" s="384">
        <f t="shared" ref="BO47:BO52" si="89">G47+V47+AK47+AZ47</f>
        <v>17813470.079999998</v>
      </c>
      <c r="BP47" s="384">
        <f t="shared" ref="BP47:BP52" si="90">H47+W47+AL47+BA47</f>
        <v>0</v>
      </c>
      <c r="BQ47" s="384">
        <f t="shared" ref="BQ47:BQ52" si="91">I47+X47+AM47+BB47</f>
        <v>17813470.079999998</v>
      </c>
      <c r="BR47" s="384">
        <f t="shared" ref="BR47:BR52" si="92">J47+Y47+AN47+BC47</f>
        <v>17823918.219999999</v>
      </c>
      <c r="BS47" s="384">
        <f t="shared" ref="BS47:BS52" si="93">K47+Z47+AO47+BD47</f>
        <v>35.928607287307479</v>
      </c>
      <c r="BT47" s="384">
        <f t="shared" ref="BT47:BT52" si="94">L47+AA47+AP47+BE47</f>
        <v>0</v>
      </c>
      <c r="BU47" s="384">
        <f t="shared" ref="BU47:BU52" si="95">M47+AB47+AQ47+BF47</f>
        <v>0</v>
      </c>
      <c r="BV47" s="384">
        <f t="shared" ref="BV47:BV52" si="96">N47+AC47+AR47+BG47</f>
        <v>0</v>
      </c>
      <c r="BW47" s="384">
        <f t="shared" ref="BW47:BW52" si="97">O47+AD47+AS47+BH47</f>
        <v>0</v>
      </c>
      <c r="BX47" s="384">
        <f t="shared" ref="BX47:BX52" si="98">P47+AE47+AT47+BI47</f>
        <v>17823954.148607284</v>
      </c>
      <c r="BY47" s="719"/>
    </row>
    <row r="48" spans="1:77" s="373" customFormat="1" x14ac:dyDescent="0.25">
      <c r="A48" s="691">
        <v>28</v>
      </c>
      <c r="B48" s="129" t="s">
        <v>204</v>
      </c>
      <c r="C48" s="129" t="s">
        <v>204</v>
      </c>
      <c r="D48" s="384">
        <f t="shared" si="63"/>
        <v>12743760.589999996</v>
      </c>
      <c r="E48" s="384">
        <f t="shared" si="63"/>
        <v>0</v>
      </c>
      <c r="F48" s="384">
        <f t="shared" si="13"/>
        <v>12743760.589999996</v>
      </c>
      <c r="G48" s="384">
        <f t="shared" si="63"/>
        <v>3189380.4499999993</v>
      </c>
      <c r="H48" s="384">
        <f t="shared" si="63"/>
        <v>0</v>
      </c>
      <c r="I48" s="384">
        <f t="shared" si="64"/>
        <v>3189380.4499999993</v>
      </c>
      <c r="J48" s="384">
        <f t="shared" si="65"/>
        <v>15933141.039999995</v>
      </c>
      <c r="K48" s="384">
        <f t="shared" si="66"/>
        <v>-4.0778357996764714E-9</v>
      </c>
      <c r="L48" s="384">
        <f t="shared" si="66"/>
        <v>0</v>
      </c>
      <c r="M48" s="384">
        <f t="shared" si="66"/>
        <v>0</v>
      </c>
      <c r="N48" s="384">
        <f t="shared" si="66"/>
        <v>0</v>
      </c>
      <c r="O48" s="384">
        <f t="shared" si="66"/>
        <v>0</v>
      </c>
      <c r="P48" s="386">
        <f t="shared" si="67"/>
        <v>15933141.039999992</v>
      </c>
      <c r="Q48" s="719"/>
      <c r="R48" s="158"/>
      <c r="S48" s="384">
        <f t="shared" si="68"/>
        <v>13388067.559999999</v>
      </c>
      <c r="T48" s="384">
        <f t="shared" si="68"/>
        <v>0</v>
      </c>
      <c r="U48" s="384">
        <f t="shared" si="69"/>
        <v>13388067.559999999</v>
      </c>
      <c r="V48" s="384">
        <f t="shared" si="68"/>
        <v>2401554.0299999998</v>
      </c>
      <c r="W48" s="384">
        <f t="shared" si="68"/>
        <v>0</v>
      </c>
      <c r="X48" s="384">
        <f t="shared" si="70"/>
        <v>2401554.0299999998</v>
      </c>
      <c r="Y48" s="384">
        <f t="shared" si="71"/>
        <v>15789621.589999998</v>
      </c>
      <c r="Z48" s="384">
        <f t="shared" si="72"/>
        <v>8329.8668765307684</v>
      </c>
      <c r="AA48" s="384">
        <f t="shared" si="72"/>
        <v>0</v>
      </c>
      <c r="AB48" s="384">
        <f t="shared" si="72"/>
        <v>0</v>
      </c>
      <c r="AC48" s="384">
        <f t="shared" si="72"/>
        <v>0</v>
      </c>
      <c r="AD48" s="384">
        <f t="shared" si="72"/>
        <v>0</v>
      </c>
      <c r="AE48" s="386">
        <f t="shared" si="73"/>
        <v>15797951.456876529</v>
      </c>
      <c r="AF48" s="719"/>
      <c r="AG48" s="158"/>
      <c r="AH48" s="384">
        <f t="shared" si="74"/>
        <v>13815092.029999999</v>
      </c>
      <c r="AI48" s="384">
        <f t="shared" si="74"/>
        <v>0</v>
      </c>
      <c r="AJ48" s="384">
        <f t="shared" si="75"/>
        <v>13815092.029999999</v>
      </c>
      <c r="AK48" s="384">
        <f t="shared" si="74"/>
        <v>2752381.5300000003</v>
      </c>
      <c r="AL48" s="384">
        <f t="shared" si="74"/>
        <v>0</v>
      </c>
      <c r="AM48" s="384">
        <f t="shared" si="76"/>
        <v>2752381.5300000003</v>
      </c>
      <c r="AN48" s="384">
        <f t="shared" si="77"/>
        <v>16567473.559999999</v>
      </c>
      <c r="AO48" s="384">
        <f t="shared" si="78"/>
        <v>45964.453510897518</v>
      </c>
      <c r="AP48" s="384">
        <f t="shared" si="78"/>
        <v>0</v>
      </c>
      <c r="AQ48" s="384">
        <f t="shared" si="78"/>
        <v>0</v>
      </c>
      <c r="AR48" s="384">
        <f t="shared" si="78"/>
        <v>0</v>
      </c>
      <c r="AS48" s="384">
        <f t="shared" si="78"/>
        <v>0</v>
      </c>
      <c r="AT48" s="386">
        <f t="shared" si="79"/>
        <v>16613438.013510896</v>
      </c>
      <c r="AU48" s="719"/>
      <c r="AV48" s="158"/>
      <c r="AW48" s="384">
        <f t="shared" si="80"/>
        <v>13968543.469999999</v>
      </c>
      <c r="AX48" s="384">
        <f t="shared" si="80"/>
        <v>0</v>
      </c>
      <c r="AY48" s="384">
        <f t="shared" si="81"/>
        <v>13968543.469999999</v>
      </c>
      <c r="AZ48" s="384">
        <f t="shared" si="80"/>
        <v>3401138.2100000009</v>
      </c>
      <c r="BA48" s="384">
        <f t="shared" si="80"/>
        <v>0</v>
      </c>
      <c r="BB48" s="384">
        <f t="shared" si="82"/>
        <v>3401138.2100000009</v>
      </c>
      <c r="BC48" s="384">
        <f t="shared" si="83"/>
        <v>17369681.68</v>
      </c>
      <c r="BD48" s="384">
        <f t="shared" si="84"/>
        <v>138235.04151030007</v>
      </c>
      <c r="BE48" s="384">
        <f t="shared" si="84"/>
        <v>0</v>
      </c>
      <c r="BF48" s="384">
        <f t="shared" si="84"/>
        <v>0</v>
      </c>
      <c r="BG48" s="384">
        <f t="shared" si="84"/>
        <v>0</v>
      </c>
      <c r="BH48" s="384">
        <f t="shared" si="84"/>
        <v>0</v>
      </c>
      <c r="BI48" s="386">
        <f t="shared" si="85"/>
        <v>17507916.721510299</v>
      </c>
      <c r="BJ48" s="719"/>
      <c r="BL48" s="384">
        <f t="shared" si="86"/>
        <v>53915463.649999991</v>
      </c>
      <c r="BM48" s="384">
        <f t="shared" si="87"/>
        <v>0</v>
      </c>
      <c r="BN48" s="384">
        <f t="shared" si="88"/>
        <v>53915463.649999991</v>
      </c>
      <c r="BO48" s="384">
        <f t="shared" si="89"/>
        <v>11744454.219999999</v>
      </c>
      <c r="BP48" s="384">
        <f t="shared" si="90"/>
        <v>0</v>
      </c>
      <c r="BQ48" s="384">
        <f t="shared" si="91"/>
        <v>11744454.219999999</v>
      </c>
      <c r="BR48" s="384">
        <f t="shared" si="92"/>
        <v>65659917.869999997</v>
      </c>
      <c r="BS48" s="384">
        <f t="shared" si="93"/>
        <v>192529.36189772427</v>
      </c>
      <c r="BT48" s="384">
        <f t="shared" si="94"/>
        <v>0</v>
      </c>
      <c r="BU48" s="384">
        <f t="shared" si="95"/>
        <v>0</v>
      </c>
      <c r="BV48" s="384">
        <f t="shared" si="96"/>
        <v>0</v>
      </c>
      <c r="BW48" s="384">
        <f t="shared" si="97"/>
        <v>0</v>
      </c>
      <c r="BX48" s="384">
        <f t="shared" si="98"/>
        <v>65852447.231897719</v>
      </c>
      <c r="BY48" s="719"/>
    </row>
    <row r="49" spans="1:77" s="373" customFormat="1" x14ac:dyDescent="0.25">
      <c r="A49" s="691">
        <v>29</v>
      </c>
      <c r="B49" s="131" t="s">
        <v>375</v>
      </c>
      <c r="C49" s="131" t="s">
        <v>375</v>
      </c>
      <c r="D49" s="384">
        <f t="shared" si="63"/>
        <v>2305821.2999999989</v>
      </c>
      <c r="E49" s="384">
        <f t="shared" si="63"/>
        <v>0</v>
      </c>
      <c r="F49" s="384">
        <f t="shared" si="13"/>
        <v>2305821.2999999989</v>
      </c>
      <c r="G49" s="384">
        <f t="shared" si="63"/>
        <v>7577762</v>
      </c>
      <c r="H49" s="384">
        <f t="shared" si="63"/>
        <v>0</v>
      </c>
      <c r="I49" s="384">
        <f t="shared" si="64"/>
        <v>7577762</v>
      </c>
      <c r="J49" s="384">
        <f t="shared" si="65"/>
        <v>9883583.2999999989</v>
      </c>
      <c r="K49" s="384">
        <f t="shared" si="66"/>
        <v>-7.9354210580022137E-9</v>
      </c>
      <c r="L49" s="384">
        <f t="shared" si="66"/>
        <v>0</v>
      </c>
      <c r="M49" s="384">
        <f t="shared" si="66"/>
        <v>0</v>
      </c>
      <c r="N49" s="384">
        <f t="shared" si="66"/>
        <v>0</v>
      </c>
      <c r="O49" s="384">
        <f t="shared" si="66"/>
        <v>0</v>
      </c>
      <c r="P49" s="386">
        <f t="shared" si="67"/>
        <v>9883583.2999999914</v>
      </c>
      <c r="Q49" s="719"/>
      <c r="R49" s="158"/>
      <c r="S49" s="384">
        <f t="shared" si="68"/>
        <v>2587164.8500000006</v>
      </c>
      <c r="T49" s="384">
        <f t="shared" si="68"/>
        <v>0</v>
      </c>
      <c r="U49" s="384">
        <f t="shared" si="69"/>
        <v>2587164.8500000006</v>
      </c>
      <c r="V49" s="384">
        <f t="shared" si="68"/>
        <v>6919464.8599999975</v>
      </c>
      <c r="W49" s="384">
        <f t="shared" si="68"/>
        <v>0</v>
      </c>
      <c r="X49" s="384">
        <f t="shared" si="70"/>
        <v>6919464.8599999975</v>
      </c>
      <c r="Y49" s="384">
        <f t="shared" si="71"/>
        <v>9506629.7099999972</v>
      </c>
      <c r="Z49" s="384">
        <f t="shared" si="72"/>
        <v>2282.968601636805</v>
      </c>
      <c r="AA49" s="384">
        <f t="shared" si="72"/>
        <v>0</v>
      </c>
      <c r="AB49" s="384">
        <f t="shared" si="72"/>
        <v>0</v>
      </c>
      <c r="AC49" s="384">
        <f t="shared" si="72"/>
        <v>0</v>
      </c>
      <c r="AD49" s="384">
        <f t="shared" si="72"/>
        <v>0</v>
      </c>
      <c r="AE49" s="386">
        <f t="shared" si="73"/>
        <v>9508912.6786016338</v>
      </c>
      <c r="AF49" s="719"/>
      <c r="AG49" s="158"/>
      <c r="AH49" s="384">
        <f t="shared" si="74"/>
        <v>1837678.1199999989</v>
      </c>
      <c r="AI49" s="384">
        <f t="shared" si="74"/>
        <v>0</v>
      </c>
      <c r="AJ49" s="384">
        <f t="shared" si="75"/>
        <v>1837678.1199999989</v>
      </c>
      <c r="AK49" s="384">
        <f t="shared" si="74"/>
        <v>7315786.2799999993</v>
      </c>
      <c r="AL49" s="384">
        <f t="shared" si="74"/>
        <v>0</v>
      </c>
      <c r="AM49" s="384">
        <f t="shared" si="76"/>
        <v>7315786.2799999993</v>
      </c>
      <c r="AN49" s="384">
        <f t="shared" si="77"/>
        <v>9153464.3999999985</v>
      </c>
      <c r="AO49" s="384">
        <f t="shared" si="78"/>
        <v>15572.6916254511</v>
      </c>
      <c r="AP49" s="384">
        <f t="shared" si="78"/>
        <v>0</v>
      </c>
      <c r="AQ49" s="384">
        <f t="shared" si="78"/>
        <v>0</v>
      </c>
      <c r="AR49" s="384">
        <f t="shared" si="78"/>
        <v>0</v>
      </c>
      <c r="AS49" s="384">
        <f t="shared" si="78"/>
        <v>0</v>
      </c>
      <c r="AT49" s="386">
        <f t="shared" si="79"/>
        <v>9169037.0916254502</v>
      </c>
      <c r="AU49" s="719"/>
      <c r="AV49" s="158"/>
      <c r="AW49" s="384">
        <f t="shared" si="80"/>
        <v>1878570.7399999993</v>
      </c>
      <c r="AX49" s="384">
        <f t="shared" si="80"/>
        <v>0</v>
      </c>
      <c r="AY49" s="384">
        <f t="shared" si="81"/>
        <v>1878570.7399999993</v>
      </c>
      <c r="AZ49" s="384">
        <f t="shared" si="80"/>
        <v>7336483.6999999983</v>
      </c>
      <c r="BA49" s="384">
        <f t="shared" si="80"/>
        <v>0</v>
      </c>
      <c r="BB49" s="384">
        <f t="shared" si="82"/>
        <v>7336483.6999999983</v>
      </c>
      <c r="BC49" s="384">
        <f t="shared" si="83"/>
        <v>9215054.4399999976</v>
      </c>
      <c r="BD49" s="384">
        <f t="shared" si="84"/>
        <v>56004.702355890789</v>
      </c>
      <c r="BE49" s="384">
        <f t="shared" si="84"/>
        <v>0</v>
      </c>
      <c r="BF49" s="384">
        <f t="shared" si="84"/>
        <v>0</v>
      </c>
      <c r="BG49" s="384">
        <f t="shared" si="84"/>
        <v>0</v>
      </c>
      <c r="BH49" s="384">
        <f t="shared" si="84"/>
        <v>0</v>
      </c>
      <c r="BI49" s="386">
        <f t="shared" si="85"/>
        <v>9271059.1423558891</v>
      </c>
      <c r="BJ49" s="719"/>
      <c r="BL49" s="384">
        <f t="shared" si="86"/>
        <v>8609235.0099999979</v>
      </c>
      <c r="BM49" s="384">
        <f t="shared" si="87"/>
        <v>0</v>
      </c>
      <c r="BN49" s="384">
        <f t="shared" si="88"/>
        <v>8609235.0099999979</v>
      </c>
      <c r="BO49" s="384">
        <f t="shared" si="89"/>
        <v>29149496.839999996</v>
      </c>
      <c r="BP49" s="384">
        <f t="shared" si="90"/>
        <v>0</v>
      </c>
      <c r="BQ49" s="384">
        <f t="shared" si="91"/>
        <v>29149496.839999996</v>
      </c>
      <c r="BR49" s="384">
        <f t="shared" si="92"/>
        <v>37758731.849999994</v>
      </c>
      <c r="BS49" s="384">
        <f t="shared" si="93"/>
        <v>73860.36258297076</v>
      </c>
      <c r="BT49" s="384">
        <f t="shared" si="94"/>
        <v>0</v>
      </c>
      <c r="BU49" s="384">
        <f t="shared" si="95"/>
        <v>0</v>
      </c>
      <c r="BV49" s="384">
        <f t="shared" si="96"/>
        <v>0</v>
      </c>
      <c r="BW49" s="384">
        <f t="shared" si="97"/>
        <v>0</v>
      </c>
      <c r="BX49" s="384">
        <f t="shared" si="98"/>
        <v>37832592.212582968</v>
      </c>
      <c r="BY49" s="719"/>
    </row>
    <row r="50" spans="1:77" s="373" customFormat="1" x14ac:dyDescent="0.25">
      <c r="A50" s="691">
        <v>30</v>
      </c>
      <c r="B50" s="129" t="s">
        <v>202</v>
      </c>
      <c r="C50" s="129" t="s">
        <v>234</v>
      </c>
      <c r="D50" s="384">
        <f t="shared" si="63"/>
        <v>14772325.899999999</v>
      </c>
      <c r="E50" s="384">
        <f t="shared" si="63"/>
        <v>0</v>
      </c>
      <c r="F50" s="384">
        <f t="shared" si="13"/>
        <v>14772325.899999999</v>
      </c>
      <c r="G50" s="384">
        <f t="shared" si="63"/>
        <v>64997400.530000001</v>
      </c>
      <c r="H50" s="384">
        <f t="shared" si="63"/>
        <v>0</v>
      </c>
      <c r="I50" s="384">
        <f t="shared" si="64"/>
        <v>64997400.530000001</v>
      </c>
      <c r="J50" s="384">
        <f t="shared" si="65"/>
        <v>79769726.430000007</v>
      </c>
      <c r="K50" s="384">
        <f t="shared" si="66"/>
        <v>-6.3572167583898793E-8</v>
      </c>
      <c r="L50" s="384">
        <f t="shared" si="66"/>
        <v>0</v>
      </c>
      <c r="M50" s="384">
        <f t="shared" si="66"/>
        <v>0</v>
      </c>
      <c r="N50" s="384">
        <f t="shared" si="66"/>
        <v>0</v>
      </c>
      <c r="O50" s="384">
        <f t="shared" si="66"/>
        <v>0</v>
      </c>
      <c r="P50" s="386">
        <f t="shared" si="67"/>
        <v>79769726.429999948</v>
      </c>
      <c r="Q50" s="719"/>
      <c r="R50" s="158"/>
      <c r="S50" s="384">
        <f t="shared" si="68"/>
        <v>16159392.86452966</v>
      </c>
      <c r="T50" s="384">
        <f t="shared" si="68"/>
        <v>0</v>
      </c>
      <c r="U50" s="384">
        <f t="shared" si="69"/>
        <v>16159392.86452966</v>
      </c>
      <c r="V50" s="384">
        <f t="shared" si="68"/>
        <v>67248966.286614388</v>
      </c>
      <c r="W50" s="384">
        <f t="shared" si="68"/>
        <v>0</v>
      </c>
      <c r="X50" s="384">
        <f t="shared" si="70"/>
        <v>67248966.286614388</v>
      </c>
      <c r="Y50" s="384">
        <f t="shared" si="71"/>
        <v>83408359.151144043</v>
      </c>
      <c r="Z50" s="384">
        <f t="shared" si="72"/>
        <v>13604.137579642414</v>
      </c>
      <c r="AA50" s="384">
        <f t="shared" si="72"/>
        <v>0</v>
      </c>
      <c r="AB50" s="384">
        <f t="shared" si="72"/>
        <v>0</v>
      </c>
      <c r="AC50" s="384">
        <f t="shared" si="72"/>
        <v>0</v>
      </c>
      <c r="AD50" s="384">
        <f t="shared" si="72"/>
        <v>0</v>
      </c>
      <c r="AE50" s="386">
        <f t="shared" si="73"/>
        <v>83421963.288723692</v>
      </c>
      <c r="AF50" s="719"/>
      <c r="AG50" s="158"/>
      <c r="AH50" s="384">
        <f t="shared" si="74"/>
        <v>16813343.182193693</v>
      </c>
      <c r="AI50" s="384">
        <f t="shared" si="74"/>
        <v>0</v>
      </c>
      <c r="AJ50" s="384">
        <f t="shared" si="75"/>
        <v>16813343.182193693</v>
      </c>
      <c r="AK50" s="384">
        <f t="shared" si="74"/>
        <v>72544254.0707791</v>
      </c>
      <c r="AL50" s="384">
        <f t="shared" si="74"/>
        <v>0</v>
      </c>
      <c r="AM50" s="384">
        <f t="shared" si="76"/>
        <v>72544254.0707791</v>
      </c>
      <c r="AN50" s="384">
        <f t="shared" si="77"/>
        <v>89357597.252972797</v>
      </c>
      <c r="AO50" s="384">
        <f t="shared" si="78"/>
        <v>129980.42496886212</v>
      </c>
      <c r="AP50" s="384">
        <f t="shared" si="78"/>
        <v>0</v>
      </c>
      <c r="AQ50" s="384">
        <f t="shared" si="78"/>
        <v>0</v>
      </c>
      <c r="AR50" s="384">
        <f t="shared" si="78"/>
        <v>0</v>
      </c>
      <c r="AS50" s="384">
        <f t="shared" si="78"/>
        <v>0</v>
      </c>
      <c r="AT50" s="386">
        <f t="shared" si="79"/>
        <v>89487577.677941665</v>
      </c>
      <c r="AU50" s="719"/>
      <c r="AV50" s="158"/>
      <c r="AW50" s="384">
        <f t="shared" si="80"/>
        <v>17555074.488697506</v>
      </c>
      <c r="AX50" s="384">
        <f t="shared" si="80"/>
        <v>0</v>
      </c>
      <c r="AY50" s="384">
        <f t="shared" si="81"/>
        <v>17555074.488697506</v>
      </c>
      <c r="AZ50" s="384">
        <f t="shared" si="80"/>
        <v>75809699.721978307</v>
      </c>
      <c r="BA50" s="384">
        <f t="shared" si="80"/>
        <v>0</v>
      </c>
      <c r="BB50" s="384">
        <f t="shared" si="82"/>
        <v>75809699.721978307</v>
      </c>
      <c r="BC50" s="384">
        <f t="shared" si="83"/>
        <v>93364774.210675806</v>
      </c>
      <c r="BD50" s="384">
        <f t="shared" si="84"/>
        <v>497311.58984801598</v>
      </c>
      <c r="BE50" s="384">
        <f t="shared" si="84"/>
        <v>0</v>
      </c>
      <c r="BF50" s="384">
        <f t="shared" si="84"/>
        <v>0</v>
      </c>
      <c r="BG50" s="384">
        <f t="shared" si="84"/>
        <v>0</v>
      </c>
      <c r="BH50" s="384">
        <f t="shared" si="84"/>
        <v>0</v>
      </c>
      <c r="BI50" s="386">
        <f t="shared" si="85"/>
        <v>93862085.800523818</v>
      </c>
      <c r="BJ50" s="719"/>
      <c r="BL50" s="384">
        <f t="shared" si="86"/>
        <v>65300136.435420863</v>
      </c>
      <c r="BM50" s="384">
        <f t="shared" si="87"/>
        <v>0</v>
      </c>
      <c r="BN50" s="384">
        <f t="shared" si="88"/>
        <v>65300136.435420863</v>
      </c>
      <c r="BO50" s="384">
        <f t="shared" si="89"/>
        <v>280600320.60937178</v>
      </c>
      <c r="BP50" s="384">
        <f t="shared" si="90"/>
        <v>0</v>
      </c>
      <c r="BQ50" s="384">
        <f t="shared" si="91"/>
        <v>280600320.60937178</v>
      </c>
      <c r="BR50" s="384">
        <f t="shared" si="92"/>
        <v>345900457.04479265</v>
      </c>
      <c r="BS50" s="384">
        <f t="shared" si="93"/>
        <v>640896.15239645692</v>
      </c>
      <c r="BT50" s="384">
        <f t="shared" si="94"/>
        <v>0</v>
      </c>
      <c r="BU50" s="384">
        <f t="shared" si="95"/>
        <v>0</v>
      </c>
      <c r="BV50" s="384">
        <f t="shared" si="96"/>
        <v>0</v>
      </c>
      <c r="BW50" s="384">
        <f t="shared" si="97"/>
        <v>0</v>
      </c>
      <c r="BX50" s="384">
        <f t="shared" si="98"/>
        <v>346541353.19718915</v>
      </c>
      <c r="BY50" s="719"/>
    </row>
    <row r="51" spans="1:77" s="373" customFormat="1" x14ac:dyDescent="0.25">
      <c r="A51" s="691">
        <v>31</v>
      </c>
      <c r="B51" s="131" t="s">
        <v>203</v>
      </c>
      <c r="C51" s="131" t="s">
        <v>203</v>
      </c>
      <c r="D51" s="384">
        <f t="shared" si="63"/>
        <v>8817407.8100000098</v>
      </c>
      <c r="E51" s="384">
        <f t="shared" si="63"/>
        <v>0</v>
      </c>
      <c r="F51" s="384">
        <f t="shared" si="13"/>
        <v>8817407.8100000098</v>
      </c>
      <c r="G51" s="384">
        <f t="shared" si="63"/>
        <v>3711868.5299999956</v>
      </c>
      <c r="H51" s="384">
        <f t="shared" si="63"/>
        <v>0</v>
      </c>
      <c r="I51" s="384">
        <f t="shared" si="64"/>
        <v>3711868.5299999956</v>
      </c>
      <c r="J51" s="384">
        <f t="shared" si="65"/>
        <v>12529276.340000005</v>
      </c>
      <c r="K51" s="384">
        <f t="shared" si="66"/>
        <v>-4.3689249101455284E-9</v>
      </c>
      <c r="L51" s="384">
        <f t="shared" si="66"/>
        <v>0</v>
      </c>
      <c r="M51" s="384">
        <f t="shared" si="66"/>
        <v>0</v>
      </c>
      <c r="N51" s="384">
        <f t="shared" si="66"/>
        <v>0</v>
      </c>
      <c r="O51" s="384">
        <f t="shared" si="66"/>
        <v>0</v>
      </c>
      <c r="P51" s="386">
        <f t="shared" si="67"/>
        <v>12529276.340000002</v>
      </c>
      <c r="Q51" s="719"/>
      <c r="R51" s="158"/>
      <c r="S51" s="384">
        <f t="shared" si="68"/>
        <v>10090839.840000005</v>
      </c>
      <c r="T51" s="384">
        <f t="shared" si="68"/>
        <v>0</v>
      </c>
      <c r="U51" s="384">
        <f t="shared" si="69"/>
        <v>10090839.840000005</v>
      </c>
      <c r="V51" s="384">
        <f t="shared" si="68"/>
        <v>4425225.8899999987</v>
      </c>
      <c r="W51" s="384">
        <f t="shared" si="68"/>
        <v>0</v>
      </c>
      <c r="X51" s="384">
        <f t="shared" si="70"/>
        <v>4425225.8899999987</v>
      </c>
      <c r="Y51" s="384">
        <f t="shared" si="71"/>
        <v>14516065.730000004</v>
      </c>
      <c r="Z51" s="384">
        <f t="shared" si="72"/>
        <v>6551.1261648868394</v>
      </c>
      <c r="AA51" s="384">
        <f t="shared" si="72"/>
        <v>0</v>
      </c>
      <c r="AB51" s="384">
        <f t="shared" si="72"/>
        <v>0</v>
      </c>
      <c r="AC51" s="384">
        <f t="shared" si="72"/>
        <v>0</v>
      </c>
      <c r="AD51" s="384">
        <f t="shared" si="72"/>
        <v>0</v>
      </c>
      <c r="AE51" s="386">
        <f t="shared" si="73"/>
        <v>14522616.856164891</v>
      </c>
      <c r="AF51" s="719"/>
      <c r="AG51" s="158"/>
      <c r="AH51" s="384">
        <f t="shared" si="74"/>
        <v>10748021.469999997</v>
      </c>
      <c r="AI51" s="384">
        <f t="shared" si="74"/>
        <v>0</v>
      </c>
      <c r="AJ51" s="384">
        <f t="shared" si="75"/>
        <v>10748021.469999997</v>
      </c>
      <c r="AK51" s="384">
        <f t="shared" si="74"/>
        <v>4401754.97</v>
      </c>
      <c r="AL51" s="384">
        <f t="shared" si="74"/>
        <v>0</v>
      </c>
      <c r="AM51" s="384">
        <f t="shared" si="76"/>
        <v>4401754.97</v>
      </c>
      <c r="AN51" s="384">
        <f t="shared" si="77"/>
        <v>15149776.439999998</v>
      </c>
      <c r="AO51" s="384">
        <f t="shared" si="78"/>
        <v>38836.39258442189</v>
      </c>
      <c r="AP51" s="384">
        <f t="shared" si="78"/>
        <v>0</v>
      </c>
      <c r="AQ51" s="384">
        <f t="shared" si="78"/>
        <v>0</v>
      </c>
      <c r="AR51" s="384">
        <f t="shared" si="78"/>
        <v>0</v>
      </c>
      <c r="AS51" s="384">
        <f t="shared" si="78"/>
        <v>0</v>
      </c>
      <c r="AT51" s="386">
        <f t="shared" si="79"/>
        <v>15188612.83258442</v>
      </c>
      <c r="AU51" s="719"/>
      <c r="AV51" s="158"/>
      <c r="AW51" s="384">
        <f t="shared" si="80"/>
        <v>11018959.140000001</v>
      </c>
      <c r="AX51" s="384">
        <f t="shared" si="80"/>
        <v>0</v>
      </c>
      <c r="AY51" s="384">
        <f t="shared" si="81"/>
        <v>11018959.140000001</v>
      </c>
      <c r="AZ51" s="384">
        <f t="shared" si="80"/>
        <v>4373828.0800000019</v>
      </c>
      <c r="BA51" s="384">
        <f t="shared" si="80"/>
        <v>0</v>
      </c>
      <c r="BB51" s="384">
        <f t="shared" si="82"/>
        <v>4373828.0800000019</v>
      </c>
      <c r="BC51" s="384">
        <f t="shared" si="83"/>
        <v>15392787.220000003</v>
      </c>
      <c r="BD51" s="384">
        <f t="shared" si="84"/>
        <v>118241.79988177698</v>
      </c>
      <c r="BE51" s="384">
        <f t="shared" si="84"/>
        <v>0</v>
      </c>
      <c r="BF51" s="384">
        <f t="shared" si="84"/>
        <v>0</v>
      </c>
      <c r="BG51" s="384">
        <f t="shared" si="84"/>
        <v>0</v>
      </c>
      <c r="BH51" s="384">
        <f t="shared" si="84"/>
        <v>0</v>
      </c>
      <c r="BI51" s="386">
        <f t="shared" si="85"/>
        <v>15511029.019881779</v>
      </c>
      <c r="BJ51" s="719"/>
      <c r="BL51" s="384">
        <f t="shared" si="86"/>
        <v>40675228.260000013</v>
      </c>
      <c r="BM51" s="384">
        <f t="shared" si="87"/>
        <v>0</v>
      </c>
      <c r="BN51" s="384">
        <f t="shared" si="88"/>
        <v>40675228.260000013</v>
      </c>
      <c r="BO51" s="384">
        <f t="shared" si="89"/>
        <v>16912677.469999995</v>
      </c>
      <c r="BP51" s="384">
        <f t="shared" si="90"/>
        <v>0</v>
      </c>
      <c r="BQ51" s="384">
        <f t="shared" si="91"/>
        <v>16912677.469999995</v>
      </c>
      <c r="BR51" s="384">
        <f t="shared" si="92"/>
        <v>57587905.730000004</v>
      </c>
      <c r="BS51" s="384">
        <f t="shared" si="93"/>
        <v>163629.31863108135</v>
      </c>
      <c r="BT51" s="384">
        <f t="shared" si="94"/>
        <v>0</v>
      </c>
      <c r="BU51" s="384">
        <f t="shared" si="95"/>
        <v>0</v>
      </c>
      <c r="BV51" s="384">
        <f t="shared" si="96"/>
        <v>0</v>
      </c>
      <c r="BW51" s="384">
        <f t="shared" si="97"/>
        <v>0</v>
      </c>
      <c r="BX51" s="384">
        <f t="shared" si="98"/>
        <v>57751535.048631087</v>
      </c>
      <c r="BY51" s="719"/>
    </row>
    <row r="52" spans="1:77" s="373" customFormat="1" x14ac:dyDescent="0.25">
      <c r="A52" s="691">
        <v>32</v>
      </c>
      <c r="B52" s="131" t="s">
        <v>159</v>
      </c>
      <c r="C52" s="131" t="s">
        <v>159</v>
      </c>
      <c r="D52" s="384">
        <f>SUMIF($C$18:$C$45,$C52,D$18:D$45)</f>
        <v>18568398.23999989</v>
      </c>
      <c r="E52" s="384">
        <f t="shared" si="63"/>
        <v>0</v>
      </c>
      <c r="F52" s="384">
        <f t="shared" si="13"/>
        <v>18568398.23999989</v>
      </c>
      <c r="G52" s="384">
        <f t="shared" si="63"/>
        <v>2603785.71</v>
      </c>
      <c r="H52" s="384">
        <f t="shared" si="63"/>
        <v>0</v>
      </c>
      <c r="I52" s="384">
        <f t="shared" si="64"/>
        <v>2603785.71</v>
      </c>
      <c r="J52" s="384">
        <f t="shared" si="65"/>
        <v>21172183.949999891</v>
      </c>
      <c r="K52" s="384">
        <f t="shared" si="66"/>
        <v>0</v>
      </c>
      <c r="L52" s="384">
        <f t="shared" si="66"/>
        <v>0</v>
      </c>
      <c r="M52" s="384">
        <f t="shared" si="66"/>
        <v>0</v>
      </c>
      <c r="N52" s="384">
        <f t="shared" si="66"/>
        <v>0</v>
      </c>
      <c r="O52" s="384">
        <f t="shared" si="66"/>
        <v>0</v>
      </c>
      <c r="P52" s="386">
        <f t="shared" si="67"/>
        <v>21172183.949999891</v>
      </c>
      <c r="Q52" s="719"/>
      <c r="R52" s="158"/>
      <c r="S52" s="384">
        <f t="shared" si="68"/>
        <v>19294160.222816154</v>
      </c>
      <c r="T52" s="384">
        <f t="shared" si="68"/>
        <v>0</v>
      </c>
      <c r="U52" s="384">
        <f t="shared" si="69"/>
        <v>19294160.222816154</v>
      </c>
      <c r="V52" s="384">
        <f t="shared" si="68"/>
        <v>3089875.9206317216</v>
      </c>
      <c r="W52" s="384">
        <f t="shared" si="68"/>
        <v>0</v>
      </c>
      <c r="X52" s="384">
        <f t="shared" si="70"/>
        <v>3089875.9206317216</v>
      </c>
      <c r="Y52" s="384">
        <f t="shared" si="71"/>
        <v>22384036.143447876</v>
      </c>
      <c r="Z52" s="384">
        <f t="shared" si="72"/>
        <v>0</v>
      </c>
      <c r="AA52" s="384">
        <f t="shared" si="72"/>
        <v>0</v>
      </c>
      <c r="AB52" s="384">
        <f t="shared" si="72"/>
        <v>0</v>
      </c>
      <c r="AC52" s="384">
        <f t="shared" si="72"/>
        <v>0</v>
      </c>
      <c r="AD52" s="384">
        <f t="shared" si="72"/>
        <v>0</v>
      </c>
      <c r="AE52" s="386">
        <f t="shared" si="73"/>
        <v>22384036.143447876</v>
      </c>
      <c r="AF52" s="719"/>
      <c r="AG52" s="158"/>
      <c r="AH52" s="384">
        <f t="shared" si="74"/>
        <v>21092876.119870257</v>
      </c>
      <c r="AI52" s="384">
        <f t="shared" si="74"/>
        <v>0</v>
      </c>
      <c r="AJ52" s="384">
        <f t="shared" si="75"/>
        <v>21092876.119870257</v>
      </c>
      <c r="AK52" s="384">
        <f t="shared" si="74"/>
        <v>3362021.588172032</v>
      </c>
      <c r="AL52" s="384">
        <f t="shared" si="74"/>
        <v>0</v>
      </c>
      <c r="AM52" s="384">
        <f t="shared" si="76"/>
        <v>3362021.588172032</v>
      </c>
      <c r="AN52" s="384">
        <f t="shared" si="77"/>
        <v>24454897.70804229</v>
      </c>
      <c r="AO52" s="384">
        <f t="shared" si="78"/>
        <v>0</v>
      </c>
      <c r="AP52" s="384">
        <f t="shared" si="78"/>
        <v>0</v>
      </c>
      <c r="AQ52" s="384">
        <f t="shared" si="78"/>
        <v>0</v>
      </c>
      <c r="AR52" s="384">
        <f t="shared" si="78"/>
        <v>0</v>
      </c>
      <c r="AS52" s="384">
        <f t="shared" si="78"/>
        <v>0</v>
      </c>
      <c r="AT52" s="386">
        <f t="shared" si="79"/>
        <v>24454897.70804229</v>
      </c>
      <c r="AU52" s="719"/>
      <c r="AV52" s="158"/>
      <c r="AW52" s="384">
        <f t="shared" si="80"/>
        <v>22177239.911444116</v>
      </c>
      <c r="AX52" s="384">
        <f t="shared" si="80"/>
        <v>0</v>
      </c>
      <c r="AY52" s="384">
        <f t="shared" si="81"/>
        <v>22177239.911444116</v>
      </c>
      <c r="AZ52" s="384">
        <f t="shared" si="80"/>
        <v>3599173.9809154561</v>
      </c>
      <c r="BA52" s="384">
        <f t="shared" si="80"/>
        <v>0</v>
      </c>
      <c r="BB52" s="384">
        <f t="shared" si="82"/>
        <v>3599173.9809154561</v>
      </c>
      <c r="BC52" s="384">
        <f t="shared" si="83"/>
        <v>25776413.892359573</v>
      </c>
      <c r="BD52" s="384">
        <f t="shared" si="84"/>
        <v>0</v>
      </c>
      <c r="BE52" s="384">
        <f t="shared" si="84"/>
        <v>0</v>
      </c>
      <c r="BF52" s="384">
        <f t="shared" si="84"/>
        <v>0</v>
      </c>
      <c r="BG52" s="384">
        <f t="shared" si="84"/>
        <v>0</v>
      </c>
      <c r="BH52" s="384">
        <f t="shared" si="84"/>
        <v>0</v>
      </c>
      <c r="BI52" s="386">
        <f t="shared" si="85"/>
        <v>25776413.892359573</v>
      </c>
      <c r="BJ52" s="719"/>
      <c r="BL52" s="384">
        <f t="shared" si="86"/>
        <v>81132674.494130418</v>
      </c>
      <c r="BM52" s="384">
        <f t="shared" si="87"/>
        <v>0</v>
      </c>
      <c r="BN52" s="384">
        <f t="shared" si="88"/>
        <v>81132674.494130418</v>
      </c>
      <c r="BO52" s="384">
        <f t="shared" si="89"/>
        <v>12654857.199719209</v>
      </c>
      <c r="BP52" s="384">
        <f t="shared" si="90"/>
        <v>0</v>
      </c>
      <c r="BQ52" s="384">
        <f t="shared" si="91"/>
        <v>12654857.199719209</v>
      </c>
      <c r="BR52" s="384">
        <f t="shared" si="92"/>
        <v>93787531.693849623</v>
      </c>
      <c r="BS52" s="384">
        <f t="shared" si="93"/>
        <v>0</v>
      </c>
      <c r="BT52" s="384">
        <f t="shared" si="94"/>
        <v>0</v>
      </c>
      <c r="BU52" s="384">
        <f t="shared" si="95"/>
        <v>0</v>
      </c>
      <c r="BV52" s="384">
        <f t="shared" si="96"/>
        <v>0</v>
      </c>
      <c r="BW52" s="384">
        <f t="shared" si="97"/>
        <v>0</v>
      </c>
      <c r="BX52" s="384">
        <f t="shared" si="98"/>
        <v>93787531.693849623</v>
      </c>
      <c r="BY52" s="719"/>
    </row>
    <row r="53" spans="1:77" x14ac:dyDescent="0.25">
      <c r="A53" s="692"/>
      <c r="B53" s="381"/>
      <c r="C53" s="381"/>
      <c r="D53" s="381"/>
      <c r="E53" s="381"/>
      <c r="F53" s="381"/>
      <c r="G53" s="381"/>
      <c r="H53" s="381"/>
      <c r="I53" s="381"/>
      <c r="J53" s="381"/>
      <c r="K53" s="381"/>
      <c r="L53" s="381"/>
      <c r="M53" s="381"/>
      <c r="N53" s="381"/>
      <c r="O53" s="381"/>
      <c r="P53" s="381"/>
      <c r="Q53" s="816"/>
      <c r="R53" s="381"/>
      <c r="S53" s="381"/>
      <c r="T53" s="381"/>
      <c r="U53" s="381"/>
      <c r="V53" s="381"/>
      <c r="W53" s="381"/>
      <c r="X53" s="381"/>
      <c r="Y53" s="381"/>
      <c r="Z53" s="381"/>
      <c r="AA53" s="381"/>
      <c r="AB53" s="381"/>
      <c r="AC53" s="381"/>
      <c r="AD53" s="381"/>
      <c r="AE53" s="381"/>
      <c r="AF53" s="816"/>
      <c r="AG53" s="381"/>
      <c r="AH53" s="381"/>
      <c r="AI53" s="381"/>
      <c r="AJ53" s="381"/>
      <c r="AK53" s="381"/>
      <c r="AL53" s="381"/>
      <c r="AM53" s="381"/>
      <c r="AN53" s="381"/>
      <c r="AO53" s="381"/>
      <c r="AP53" s="381"/>
      <c r="AQ53" s="381"/>
      <c r="AR53" s="381"/>
      <c r="AS53" s="381"/>
      <c r="AU53" s="816"/>
      <c r="BJ53" s="816"/>
      <c r="BY53" s="816"/>
    </row>
    <row r="54" spans="1:77" s="373" customFormat="1" ht="15" customHeight="1" x14ac:dyDescent="0.25">
      <c r="A54" s="261"/>
      <c r="B54" s="182" t="s">
        <v>252</v>
      </c>
      <c r="C54" s="182"/>
      <c r="D54" s="158"/>
      <c r="E54" s="158"/>
      <c r="F54" s="158"/>
      <c r="G54" s="158"/>
      <c r="H54" s="158"/>
      <c r="I54" s="158"/>
      <c r="J54" s="158"/>
      <c r="K54" s="158"/>
      <c r="L54" s="158"/>
      <c r="M54" s="158"/>
      <c r="N54" s="158"/>
      <c r="O54" s="158"/>
      <c r="P54" s="158"/>
      <c r="Q54" s="247"/>
      <c r="R54" s="158"/>
      <c r="S54" s="158"/>
      <c r="T54" s="158"/>
      <c r="U54" s="158"/>
      <c r="V54" s="158"/>
      <c r="W54" s="158"/>
      <c r="X54" s="158"/>
      <c r="Y54" s="158"/>
      <c r="Z54" s="158"/>
      <c r="AA54" s="158"/>
      <c r="AB54" s="158"/>
      <c r="AC54" s="158"/>
      <c r="AD54" s="158"/>
      <c r="AE54" s="158"/>
      <c r="AF54" s="247"/>
      <c r="AG54" s="158"/>
      <c r="AH54" s="158"/>
      <c r="AI54" s="158"/>
      <c r="AJ54" s="158"/>
      <c r="AK54" s="158"/>
      <c r="AL54" s="158"/>
      <c r="AM54" s="158"/>
      <c r="AN54" s="158"/>
      <c r="AO54" s="158"/>
      <c r="AP54" s="158"/>
      <c r="AQ54" s="158"/>
      <c r="AR54" s="158"/>
      <c r="AS54" s="158"/>
      <c r="AU54" s="247"/>
      <c r="BJ54" s="247"/>
      <c r="BY54" s="247"/>
    </row>
    <row r="55" spans="1:77" s="373" customFormat="1" ht="15" customHeight="1" x14ac:dyDescent="0.25">
      <c r="A55" s="262"/>
      <c r="B55" s="158" t="s">
        <v>1424</v>
      </c>
      <c r="C55" s="158"/>
      <c r="D55" s="158"/>
      <c r="E55" s="158"/>
      <c r="F55" s="158"/>
      <c r="G55" s="158"/>
      <c r="H55" s="158"/>
      <c r="I55" s="158"/>
      <c r="J55" s="158"/>
      <c r="K55" s="158"/>
      <c r="L55" s="158"/>
      <c r="M55" s="158"/>
      <c r="N55" s="158"/>
      <c r="O55" s="158"/>
      <c r="P55" s="158"/>
      <c r="Q55" s="247"/>
      <c r="R55" s="158"/>
      <c r="S55" s="158"/>
      <c r="T55" s="158"/>
      <c r="U55" s="158"/>
      <c r="V55" s="158"/>
      <c r="W55" s="158"/>
      <c r="X55" s="158"/>
      <c r="Y55" s="158"/>
      <c r="Z55" s="158"/>
      <c r="AA55" s="158"/>
      <c r="AB55" s="158"/>
      <c r="AC55" s="158"/>
      <c r="AD55" s="158"/>
      <c r="AE55" s="158"/>
      <c r="AF55" s="247"/>
      <c r="AG55" s="158"/>
      <c r="AH55" s="158"/>
      <c r="AI55" s="158"/>
      <c r="AJ55" s="158"/>
      <c r="AK55" s="158"/>
      <c r="AL55" s="158"/>
      <c r="AM55" s="158"/>
      <c r="AN55" s="158"/>
      <c r="AO55" s="158"/>
      <c r="AP55" s="158"/>
      <c r="AQ55" s="158"/>
      <c r="AR55" s="158"/>
      <c r="AS55" s="158"/>
      <c r="AU55" s="247"/>
      <c r="BJ55" s="247"/>
      <c r="BY55" s="247"/>
    </row>
    <row r="56" spans="1:77" s="373" customFormat="1" x14ac:dyDescent="0.25">
      <c r="A56" s="181"/>
      <c r="B56" s="158" t="s">
        <v>1431</v>
      </c>
      <c r="C56" s="158"/>
      <c r="D56" s="158"/>
      <c r="E56" s="158"/>
      <c r="F56" s="158"/>
      <c r="G56" s="158"/>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row>
    <row r="57" spans="1:77" s="373" customFormat="1" x14ac:dyDescent="0.25">
      <c r="A57" s="181"/>
      <c r="B57" s="158" t="s">
        <v>413</v>
      </c>
      <c r="C57" s="158"/>
      <c r="D57" s="158"/>
      <c r="E57" s="158"/>
      <c r="F57" s="158"/>
      <c r="G57" s="158"/>
      <c r="H57" s="158"/>
      <c r="I57" s="158"/>
      <c r="J57" s="158"/>
      <c r="K57" s="158"/>
      <c r="L57" s="158"/>
      <c r="M57" s="158"/>
      <c r="N57" s="158"/>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row>
    <row r="58" spans="1:77" s="373" customFormat="1" x14ac:dyDescent="0.25">
      <c r="A58" s="181"/>
      <c r="B58" s="158" t="s">
        <v>1425</v>
      </c>
      <c r="C58" s="158"/>
      <c r="D58" s="158"/>
      <c r="E58" s="158"/>
      <c r="F58" s="158"/>
      <c r="G58" s="158"/>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row>
    <row r="59" spans="1:77" s="373" customFormat="1" x14ac:dyDescent="0.25">
      <c r="A59" s="181"/>
      <c r="B59" s="158" t="s">
        <v>1426</v>
      </c>
      <c r="C59" s="158"/>
      <c r="D59" s="158"/>
      <c r="E59" s="158"/>
      <c r="F59" s="158"/>
      <c r="G59" s="158"/>
      <c r="H59" s="158"/>
      <c r="I59" s="158"/>
      <c r="J59" s="158"/>
      <c r="K59" s="158"/>
      <c r="L59" s="158"/>
      <c r="M59" s="158"/>
      <c r="N59" s="158"/>
      <c r="O59" s="158"/>
      <c r="P59" s="158"/>
      <c r="Q59" s="158"/>
      <c r="R59" s="158"/>
      <c r="S59" s="158"/>
      <c r="T59" s="158"/>
      <c r="U59" s="158"/>
      <c r="V59" s="158"/>
      <c r="W59" s="158"/>
      <c r="X59" s="158"/>
      <c r="Y59" s="158"/>
      <c r="Z59" s="158"/>
      <c r="AA59" s="158"/>
      <c r="AB59" s="158"/>
      <c r="AC59" s="158"/>
      <c r="AD59" s="158"/>
      <c r="AE59" s="158"/>
      <c r="AF59" s="158"/>
      <c r="AG59" s="158"/>
      <c r="AH59" s="158"/>
      <c r="AI59" s="158"/>
      <c r="AJ59" s="158"/>
      <c r="AK59" s="158"/>
      <c r="AL59" s="158"/>
      <c r="AM59" s="158"/>
      <c r="AN59" s="158"/>
      <c r="AO59" s="158"/>
      <c r="AP59" s="158"/>
      <c r="AQ59" s="158"/>
      <c r="AR59" s="158"/>
      <c r="AS59" s="158"/>
    </row>
    <row r="60" spans="1:77" s="373" customFormat="1" x14ac:dyDescent="0.25">
      <c r="A60" s="181"/>
      <c r="B60" s="158" t="s">
        <v>1455</v>
      </c>
      <c r="C60" s="158"/>
      <c r="D60" s="158"/>
      <c r="E60" s="158"/>
      <c r="F60" s="158"/>
      <c r="G60" s="158"/>
      <c r="H60" s="158"/>
      <c r="I60" s="158"/>
      <c r="J60" s="158"/>
      <c r="K60" s="158"/>
      <c r="L60" s="158"/>
      <c r="M60" s="158"/>
      <c r="N60" s="158"/>
      <c r="O60" s="158"/>
      <c r="P60" s="158"/>
      <c r="Q60" s="158"/>
      <c r="R60" s="158"/>
      <c r="S60" s="158"/>
      <c r="T60" s="158"/>
      <c r="U60" s="158"/>
      <c r="V60" s="158"/>
      <c r="W60" s="158"/>
      <c r="X60" s="158"/>
      <c r="Y60" s="158"/>
      <c r="Z60" s="158"/>
      <c r="AA60" s="158"/>
      <c r="AB60" s="158"/>
      <c r="AC60" s="158"/>
      <c r="AD60" s="158"/>
      <c r="AE60" s="158"/>
      <c r="AF60" s="158"/>
      <c r="AG60" s="158"/>
      <c r="AH60" s="158"/>
      <c r="AI60" s="158"/>
      <c r="AJ60" s="158"/>
      <c r="AK60" s="158"/>
      <c r="AL60" s="158"/>
      <c r="AM60" s="158"/>
      <c r="AN60" s="158"/>
      <c r="AO60" s="158"/>
      <c r="AP60" s="158"/>
      <c r="AQ60" s="158"/>
      <c r="AR60" s="158"/>
      <c r="AS60" s="158"/>
    </row>
    <row r="61" spans="1:77" s="373" customFormat="1" x14ac:dyDescent="0.25">
      <c r="A61" s="181"/>
      <c r="B61" s="158" t="s">
        <v>1456</v>
      </c>
      <c r="C61" s="158"/>
      <c r="D61" s="158"/>
      <c r="E61" s="158"/>
      <c r="F61" s="158"/>
      <c r="G61" s="158"/>
      <c r="H61" s="158"/>
      <c r="I61" s="158"/>
      <c r="J61" s="158"/>
      <c r="K61" s="158"/>
      <c r="L61" s="158"/>
      <c r="M61" s="158"/>
      <c r="N61" s="158"/>
      <c r="O61" s="158"/>
      <c r="P61" s="158"/>
      <c r="Q61" s="158"/>
      <c r="R61" s="158"/>
      <c r="S61" s="158"/>
      <c r="T61" s="158"/>
      <c r="U61" s="158"/>
      <c r="V61" s="158"/>
      <c r="W61" s="158"/>
      <c r="X61" s="158"/>
      <c r="Y61" s="158"/>
      <c r="Z61" s="158"/>
      <c r="AA61" s="158"/>
      <c r="AB61" s="158"/>
      <c r="AC61" s="158"/>
      <c r="AD61" s="158"/>
      <c r="AE61" s="158"/>
      <c r="AF61" s="158"/>
      <c r="AG61" s="158"/>
      <c r="AH61" s="158"/>
      <c r="AI61" s="158"/>
      <c r="AJ61" s="158"/>
      <c r="AK61" s="158"/>
      <c r="AL61" s="158"/>
      <c r="AM61" s="158"/>
      <c r="AN61" s="158"/>
      <c r="AO61" s="158"/>
      <c r="AP61" s="158"/>
      <c r="AQ61" s="158"/>
      <c r="AR61" s="158"/>
      <c r="AS61" s="158"/>
    </row>
    <row r="62" spans="1:77" x14ac:dyDescent="0.25">
      <c r="B62" s="738" t="s">
        <v>1422</v>
      </c>
      <c r="C62" s="379"/>
    </row>
    <row r="63" spans="1:77" x14ac:dyDescent="0.25">
      <c r="B63" s="371" t="s">
        <v>1490</v>
      </c>
    </row>
  </sheetData>
  <sheetProtection formatColumns="0"/>
  <mergeCells count="45">
    <mergeCell ref="BQ14:BQ15"/>
    <mergeCell ref="BR14:BR15"/>
    <mergeCell ref="BX14:BX15"/>
    <mergeCell ref="BY14:BY15"/>
    <mergeCell ref="BL14:BL15"/>
    <mergeCell ref="BM14:BM15"/>
    <mergeCell ref="BN14:BN15"/>
    <mergeCell ref="BO14:BO15"/>
    <mergeCell ref="BP14:BP15"/>
    <mergeCell ref="AW14:AW15"/>
    <mergeCell ref="AZ14:AZ15"/>
    <mergeCell ref="BC14:BC15"/>
    <mergeCell ref="AU14:AU15"/>
    <mergeCell ref="BJ14:BJ15"/>
    <mergeCell ref="BI14:BI15"/>
    <mergeCell ref="BA14:BA15"/>
    <mergeCell ref="AX14:AX15"/>
    <mergeCell ref="BB14:BB15"/>
    <mergeCell ref="AY14:AY15"/>
    <mergeCell ref="D14:D15"/>
    <mergeCell ref="G14:G15"/>
    <mergeCell ref="J14:J15"/>
    <mergeCell ref="P14:P15"/>
    <mergeCell ref="S14:S15"/>
    <mergeCell ref="Q14:Q15"/>
    <mergeCell ref="H14:H15"/>
    <mergeCell ref="E14:E15"/>
    <mergeCell ref="I14:I15"/>
    <mergeCell ref="F14:F15"/>
    <mergeCell ref="AN14:AN15"/>
    <mergeCell ref="AT14:AT15"/>
    <mergeCell ref="V14:V15"/>
    <mergeCell ref="Y14:Y15"/>
    <mergeCell ref="AE14:AE15"/>
    <mergeCell ref="AH14:AH15"/>
    <mergeCell ref="AK14:AK15"/>
    <mergeCell ref="AF14:AF15"/>
    <mergeCell ref="W14:W15"/>
    <mergeCell ref="AL14:AL15"/>
    <mergeCell ref="T14:T15"/>
    <mergeCell ref="X14:X15"/>
    <mergeCell ref="U14:U15"/>
    <mergeCell ref="AI14:AI15"/>
    <mergeCell ref="AM14:AM15"/>
    <mergeCell ref="AJ14:AJ15"/>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R31"/>
  <sheetViews>
    <sheetView topLeftCell="Z4" zoomScale="110" zoomScaleNormal="110" workbookViewId="0">
      <selection activeCell="G28" sqref="G28"/>
    </sheetView>
  </sheetViews>
  <sheetFormatPr defaultRowHeight="13.2" x14ac:dyDescent="0.25"/>
  <cols>
    <col min="1" max="1" width="52.44140625" style="389" bestFit="1" customWidth="1"/>
    <col min="2" max="11" width="12.44140625" style="397" customWidth="1"/>
    <col min="12" max="16" width="16.44140625" style="398" customWidth="1"/>
    <col min="17" max="21" width="9.44140625" style="399"/>
    <col min="22" max="26" width="13" style="399" customWidth="1"/>
    <col min="27" max="31" width="13.44140625" style="399" customWidth="1"/>
    <col min="32" max="36" width="15.44140625" style="388" customWidth="1"/>
    <col min="37" max="41" width="12.5546875" style="388" customWidth="1"/>
    <col min="42" max="43" width="9.44140625" style="389"/>
    <col min="44" max="44" width="9.44140625" style="390"/>
    <col min="45" max="287" width="9.44140625" style="389"/>
    <col min="288" max="288" width="11.44140625" style="389" customWidth="1"/>
    <col min="289" max="289" width="39.44140625" style="389" customWidth="1"/>
    <col min="290" max="291" width="12.44140625" style="389" customWidth="1"/>
    <col min="292" max="292" width="16.44140625" style="389" customWidth="1"/>
    <col min="293" max="293" width="9.44140625" style="389"/>
    <col min="294" max="294" width="13" style="389" customWidth="1"/>
    <col min="295" max="295" width="13.44140625" style="389" bestFit="1" customWidth="1"/>
    <col min="296" max="296" width="15.44140625" style="389" bestFit="1" customWidth="1"/>
    <col min="297" max="297" width="12.5546875" style="389" bestFit="1" customWidth="1"/>
    <col min="298" max="543" width="9.44140625" style="389"/>
    <col min="544" max="544" width="11.44140625" style="389" customWidth="1"/>
    <col min="545" max="545" width="39.44140625" style="389" customWidth="1"/>
    <col min="546" max="547" width="12.44140625" style="389" customWidth="1"/>
    <col min="548" max="548" width="16.44140625" style="389" customWidth="1"/>
    <col min="549" max="549" width="9.44140625" style="389"/>
    <col min="550" max="550" width="13" style="389" customWidth="1"/>
    <col min="551" max="551" width="13.44140625" style="389" bestFit="1" customWidth="1"/>
    <col min="552" max="552" width="15.44140625" style="389" bestFit="1" customWidth="1"/>
    <col min="553" max="553" width="12.5546875" style="389" bestFit="1" customWidth="1"/>
    <col min="554" max="799" width="9.44140625" style="389"/>
    <col min="800" max="800" width="11.44140625" style="389" customWidth="1"/>
    <col min="801" max="801" width="39.44140625" style="389" customWidth="1"/>
    <col min="802" max="803" width="12.44140625" style="389" customWidth="1"/>
    <col min="804" max="804" width="16.44140625" style="389" customWidth="1"/>
    <col min="805" max="805" width="9.44140625" style="389"/>
    <col min="806" max="806" width="13" style="389" customWidth="1"/>
    <col min="807" max="807" width="13.44140625" style="389" bestFit="1" customWidth="1"/>
    <col min="808" max="808" width="15.44140625" style="389" bestFit="1" customWidth="1"/>
    <col min="809" max="809" width="12.5546875" style="389" bestFit="1" customWidth="1"/>
    <col min="810" max="1055" width="9.44140625" style="389"/>
    <col min="1056" max="1056" width="11.44140625" style="389" customWidth="1"/>
    <col min="1057" max="1057" width="39.44140625" style="389" customWidth="1"/>
    <col min="1058" max="1059" width="12.44140625" style="389" customWidth="1"/>
    <col min="1060" max="1060" width="16.44140625" style="389" customWidth="1"/>
    <col min="1061" max="1061" width="9.44140625" style="389"/>
    <col min="1062" max="1062" width="13" style="389" customWidth="1"/>
    <col min="1063" max="1063" width="13.44140625" style="389" bestFit="1" customWidth="1"/>
    <col min="1064" max="1064" width="15.44140625" style="389" bestFit="1" customWidth="1"/>
    <col min="1065" max="1065" width="12.5546875" style="389" bestFit="1" customWidth="1"/>
    <col min="1066" max="1311" width="9.44140625" style="389"/>
    <col min="1312" max="1312" width="11.44140625" style="389" customWidth="1"/>
    <col min="1313" max="1313" width="39.44140625" style="389" customWidth="1"/>
    <col min="1314" max="1315" width="12.44140625" style="389" customWidth="1"/>
    <col min="1316" max="1316" width="16.44140625" style="389" customWidth="1"/>
    <col min="1317" max="1317" width="9.44140625" style="389"/>
    <col min="1318" max="1318" width="13" style="389" customWidth="1"/>
    <col min="1319" max="1319" width="13.44140625" style="389" bestFit="1" customWidth="1"/>
    <col min="1320" max="1320" width="15.44140625" style="389" bestFit="1" customWidth="1"/>
    <col min="1321" max="1321" width="12.5546875" style="389" bestFit="1" customWidth="1"/>
    <col min="1322" max="1567" width="9.44140625" style="389"/>
    <col min="1568" max="1568" width="11.44140625" style="389" customWidth="1"/>
    <col min="1569" max="1569" width="39.44140625" style="389" customWidth="1"/>
    <col min="1570" max="1571" width="12.44140625" style="389" customWidth="1"/>
    <col min="1572" max="1572" width="16.44140625" style="389" customWidth="1"/>
    <col min="1573" max="1573" width="9.44140625" style="389"/>
    <col min="1574" max="1574" width="13" style="389" customWidth="1"/>
    <col min="1575" max="1575" width="13.44140625" style="389" bestFit="1" customWidth="1"/>
    <col min="1576" max="1576" width="15.44140625" style="389" bestFit="1" customWidth="1"/>
    <col min="1577" max="1577" width="12.5546875" style="389" bestFit="1" customWidth="1"/>
    <col min="1578" max="1823" width="9.44140625" style="389"/>
    <col min="1824" max="1824" width="11.44140625" style="389" customWidth="1"/>
    <col min="1825" max="1825" width="39.44140625" style="389" customWidth="1"/>
    <col min="1826" max="1827" width="12.44140625" style="389" customWidth="1"/>
    <col min="1828" max="1828" width="16.44140625" style="389" customWidth="1"/>
    <col min="1829" max="1829" width="9.44140625" style="389"/>
    <col min="1830" max="1830" width="13" style="389" customWidth="1"/>
    <col min="1831" max="1831" width="13.44140625" style="389" bestFit="1" customWidth="1"/>
    <col min="1832" max="1832" width="15.44140625" style="389" bestFit="1" customWidth="1"/>
    <col min="1833" max="1833" width="12.5546875" style="389" bestFit="1" customWidth="1"/>
    <col min="1834" max="2079" width="9.44140625" style="389"/>
    <col min="2080" max="2080" width="11.44140625" style="389" customWidth="1"/>
    <col min="2081" max="2081" width="39.44140625" style="389" customWidth="1"/>
    <col min="2082" max="2083" width="12.44140625" style="389" customWidth="1"/>
    <col min="2084" max="2084" width="16.44140625" style="389" customWidth="1"/>
    <col min="2085" max="2085" width="9.44140625" style="389"/>
    <col min="2086" max="2086" width="13" style="389" customWidth="1"/>
    <col min="2087" max="2087" width="13.44140625" style="389" bestFit="1" customWidth="1"/>
    <col min="2088" max="2088" width="15.44140625" style="389" bestFit="1" customWidth="1"/>
    <col min="2089" max="2089" width="12.5546875" style="389" bestFit="1" customWidth="1"/>
    <col min="2090" max="2335" width="9.44140625" style="389"/>
    <col min="2336" max="2336" width="11.44140625" style="389" customWidth="1"/>
    <col min="2337" max="2337" width="39.44140625" style="389" customWidth="1"/>
    <col min="2338" max="2339" width="12.44140625" style="389" customWidth="1"/>
    <col min="2340" max="2340" width="16.44140625" style="389" customWidth="1"/>
    <col min="2341" max="2341" width="9.44140625" style="389"/>
    <col min="2342" max="2342" width="13" style="389" customWidth="1"/>
    <col min="2343" max="2343" width="13.44140625" style="389" bestFit="1" customWidth="1"/>
    <col min="2344" max="2344" width="15.44140625" style="389" bestFit="1" customWidth="1"/>
    <col min="2345" max="2345" width="12.5546875" style="389" bestFit="1" customWidth="1"/>
    <col min="2346" max="2591" width="9.44140625" style="389"/>
    <col min="2592" max="2592" width="11.44140625" style="389" customWidth="1"/>
    <col min="2593" max="2593" width="39.44140625" style="389" customWidth="1"/>
    <col min="2594" max="2595" width="12.44140625" style="389" customWidth="1"/>
    <col min="2596" max="2596" width="16.44140625" style="389" customWidth="1"/>
    <col min="2597" max="2597" width="9.44140625" style="389"/>
    <col min="2598" max="2598" width="13" style="389" customWidth="1"/>
    <col min="2599" max="2599" width="13.44140625" style="389" bestFit="1" customWidth="1"/>
    <col min="2600" max="2600" width="15.44140625" style="389" bestFit="1" customWidth="1"/>
    <col min="2601" max="2601" width="12.5546875" style="389" bestFit="1" customWidth="1"/>
    <col min="2602" max="2847" width="9.44140625" style="389"/>
    <col min="2848" max="2848" width="11.44140625" style="389" customWidth="1"/>
    <col min="2849" max="2849" width="39.44140625" style="389" customWidth="1"/>
    <col min="2850" max="2851" width="12.44140625" style="389" customWidth="1"/>
    <col min="2852" max="2852" width="16.44140625" style="389" customWidth="1"/>
    <col min="2853" max="2853" width="9.44140625" style="389"/>
    <col min="2854" max="2854" width="13" style="389" customWidth="1"/>
    <col min="2855" max="2855" width="13.44140625" style="389" bestFit="1" customWidth="1"/>
    <col min="2856" max="2856" width="15.44140625" style="389" bestFit="1" customWidth="1"/>
    <col min="2857" max="2857" width="12.5546875" style="389" bestFit="1" customWidth="1"/>
    <col min="2858" max="3103" width="9.44140625" style="389"/>
    <col min="3104" max="3104" width="11.44140625" style="389" customWidth="1"/>
    <col min="3105" max="3105" width="39.44140625" style="389" customWidth="1"/>
    <col min="3106" max="3107" width="12.44140625" style="389" customWidth="1"/>
    <col min="3108" max="3108" width="16.44140625" style="389" customWidth="1"/>
    <col min="3109" max="3109" width="9.44140625" style="389"/>
    <col min="3110" max="3110" width="13" style="389" customWidth="1"/>
    <col min="3111" max="3111" width="13.44140625" style="389" bestFit="1" customWidth="1"/>
    <col min="3112" max="3112" width="15.44140625" style="389" bestFit="1" customWidth="1"/>
    <col min="3113" max="3113" width="12.5546875" style="389" bestFit="1" customWidth="1"/>
    <col min="3114" max="3359" width="9.44140625" style="389"/>
    <col min="3360" max="3360" width="11.44140625" style="389" customWidth="1"/>
    <col min="3361" max="3361" width="39.44140625" style="389" customWidth="1"/>
    <col min="3362" max="3363" width="12.44140625" style="389" customWidth="1"/>
    <col min="3364" max="3364" width="16.44140625" style="389" customWidth="1"/>
    <col min="3365" max="3365" width="9.44140625" style="389"/>
    <col min="3366" max="3366" width="13" style="389" customWidth="1"/>
    <col min="3367" max="3367" width="13.44140625" style="389" bestFit="1" customWidth="1"/>
    <col min="3368" max="3368" width="15.44140625" style="389" bestFit="1" customWidth="1"/>
    <col min="3369" max="3369" width="12.5546875" style="389" bestFit="1" customWidth="1"/>
    <col min="3370" max="3615" width="9.44140625" style="389"/>
    <col min="3616" max="3616" width="11.44140625" style="389" customWidth="1"/>
    <col min="3617" max="3617" width="39.44140625" style="389" customWidth="1"/>
    <col min="3618" max="3619" width="12.44140625" style="389" customWidth="1"/>
    <col min="3620" max="3620" width="16.44140625" style="389" customWidth="1"/>
    <col min="3621" max="3621" width="9.44140625" style="389"/>
    <col min="3622" max="3622" width="13" style="389" customWidth="1"/>
    <col min="3623" max="3623" width="13.44140625" style="389" bestFit="1" customWidth="1"/>
    <col min="3624" max="3624" width="15.44140625" style="389" bestFit="1" customWidth="1"/>
    <col min="3625" max="3625" width="12.5546875" style="389" bestFit="1" customWidth="1"/>
    <col min="3626" max="3871" width="9.44140625" style="389"/>
    <col min="3872" max="3872" width="11.44140625" style="389" customWidth="1"/>
    <col min="3873" max="3873" width="39.44140625" style="389" customWidth="1"/>
    <col min="3874" max="3875" width="12.44140625" style="389" customWidth="1"/>
    <col min="3876" max="3876" width="16.44140625" style="389" customWidth="1"/>
    <col min="3877" max="3877" width="9.44140625" style="389"/>
    <col min="3878" max="3878" width="13" style="389" customWidth="1"/>
    <col min="3879" max="3879" width="13.44140625" style="389" bestFit="1" customWidth="1"/>
    <col min="3880" max="3880" width="15.44140625" style="389" bestFit="1" customWidth="1"/>
    <col min="3881" max="3881" width="12.5546875" style="389" bestFit="1" customWidth="1"/>
    <col min="3882" max="4127" width="9.44140625" style="389"/>
    <col min="4128" max="4128" width="11.44140625" style="389" customWidth="1"/>
    <col min="4129" max="4129" width="39.44140625" style="389" customWidth="1"/>
    <col min="4130" max="4131" width="12.44140625" style="389" customWidth="1"/>
    <col min="4132" max="4132" width="16.44140625" style="389" customWidth="1"/>
    <col min="4133" max="4133" width="9.44140625" style="389"/>
    <col min="4134" max="4134" width="13" style="389" customWidth="1"/>
    <col min="4135" max="4135" width="13.44140625" style="389" bestFit="1" customWidth="1"/>
    <col min="4136" max="4136" width="15.44140625" style="389" bestFit="1" customWidth="1"/>
    <col min="4137" max="4137" width="12.5546875" style="389" bestFit="1" customWidth="1"/>
    <col min="4138" max="4383" width="9.44140625" style="389"/>
    <col min="4384" max="4384" width="11.44140625" style="389" customWidth="1"/>
    <col min="4385" max="4385" width="39.44140625" style="389" customWidth="1"/>
    <col min="4386" max="4387" width="12.44140625" style="389" customWidth="1"/>
    <col min="4388" max="4388" width="16.44140625" style="389" customWidth="1"/>
    <col min="4389" max="4389" width="9.44140625" style="389"/>
    <col min="4390" max="4390" width="13" style="389" customWidth="1"/>
    <col min="4391" max="4391" width="13.44140625" style="389" bestFit="1" customWidth="1"/>
    <col min="4392" max="4392" width="15.44140625" style="389" bestFit="1" customWidth="1"/>
    <col min="4393" max="4393" width="12.5546875" style="389" bestFit="1" customWidth="1"/>
    <col min="4394" max="4639" width="9.44140625" style="389"/>
    <col min="4640" max="4640" width="11.44140625" style="389" customWidth="1"/>
    <col min="4641" max="4641" width="39.44140625" style="389" customWidth="1"/>
    <col min="4642" max="4643" width="12.44140625" style="389" customWidth="1"/>
    <col min="4644" max="4644" width="16.44140625" style="389" customWidth="1"/>
    <col min="4645" max="4645" width="9.44140625" style="389"/>
    <col min="4646" max="4646" width="13" style="389" customWidth="1"/>
    <col min="4647" max="4647" width="13.44140625" style="389" bestFit="1" customWidth="1"/>
    <col min="4648" max="4648" width="15.44140625" style="389" bestFit="1" customWidth="1"/>
    <col min="4649" max="4649" width="12.5546875" style="389" bestFit="1" customWidth="1"/>
    <col min="4650" max="4895" width="9.44140625" style="389"/>
    <col min="4896" max="4896" width="11.44140625" style="389" customWidth="1"/>
    <col min="4897" max="4897" width="39.44140625" style="389" customWidth="1"/>
    <col min="4898" max="4899" width="12.44140625" style="389" customWidth="1"/>
    <col min="4900" max="4900" width="16.44140625" style="389" customWidth="1"/>
    <col min="4901" max="4901" width="9.44140625" style="389"/>
    <col min="4902" max="4902" width="13" style="389" customWidth="1"/>
    <col min="4903" max="4903" width="13.44140625" style="389" bestFit="1" customWidth="1"/>
    <col min="4904" max="4904" width="15.44140625" style="389" bestFit="1" customWidth="1"/>
    <col min="4905" max="4905" width="12.5546875" style="389" bestFit="1" customWidth="1"/>
    <col min="4906" max="5151" width="9.44140625" style="389"/>
    <col min="5152" max="5152" width="11.44140625" style="389" customWidth="1"/>
    <col min="5153" max="5153" width="39.44140625" style="389" customWidth="1"/>
    <col min="5154" max="5155" width="12.44140625" style="389" customWidth="1"/>
    <col min="5156" max="5156" width="16.44140625" style="389" customWidth="1"/>
    <col min="5157" max="5157" width="9.44140625" style="389"/>
    <col min="5158" max="5158" width="13" style="389" customWidth="1"/>
    <col min="5159" max="5159" width="13.44140625" style="389" bestFit="1" customWidth="1"/>
    <col min="5160" max="5160" width="15.44140625" style="389" bestFit="1" customWidth="1"/>
    <col min="5161" max="5161" width="12.5546875" style="389" bestFit="1" customWidth="1"/>
    <col min="5162" max="5407" width="9.44140625" style="389"/>
    <col min="5408" max="5408" width="11.44140625" style="389" customWidth="1"/>
    <col min="5409" max="5409" width="39.44140625" style="389" customWidth="1"/>
    <col min="5410" max="5411" width="12.44140625" style="389" customWidth="1"/>
    <col min="5412" max="5412" width="16.44140625" style="389" customWidth="1"/>
    <col min="5413" max="5413" width="9.44140625" style="389"/>
    <col min="5414" max="5414" width="13" style="389" customWidth="1"/>
    <col min="5415" max="5415" width="13.44140625" style="389" bestFit="1" customWidth="1"/>
    <col min="5416" max="5416" width="15.44140625" style="389" bestFit="1" customWidth="1"/>
    <col min="5417" max="5417" width="12.5546875" style="389" bestFit="1" customWidth="1"/>
    <col min="5418" max="5663" width="9.44140625" style="389"/>
    <col min="5664" max="5664" width="11.44140625" style="389" customWidth="1"/>
    <col min="5665" max="5665" width="39.44140625" style="389" customWidth="1"/>
    <col min="5666" max="5667" width="12.44140625" style="389" customWidth="1"/>
    <col min="5668" max="5668" width="16.44140625" style="389" customWidth="1"/>
    <col min="5669" max="5669" width="9.44140625" style="389"/>
    <col min="5670" max="5670" width="13" style="389" customWidth="1"/>
    <col min="5671" max="5671" width="13.44140625" style="389" bestFit="1" customWidth="1"/>
    <col min="5672" max="5672" width="15.44140625" style="389" bestFit="1" customWidth="1"/>
    <col min="5673" max="5673" width="12.5546875" style="389" bestFit="1" customWidth="1"/>
    <col min="5674" max="5919" width="9.44140625" style="389"/>
    <col min="5920" max="5920" width="11.44140625" style="389" customWidth="1"/>
    <col min="5921" max="5921" width="39.44140625" style="389" customWidth="1"/>
    <col min="5922" max="5923" width="12.44140625" style="389" customWidth="1"/>
    <col min="5924" max="5924" width="16.44140625" style="389" customWidth="1"/>
    <col min="5925" max="5925" width="9.44140625" style="389"/>
    <col min="5926" max="5926" width="13" style="389" customWidth="1"/>
    <col min="5927" max="5927" width="13.44140625" style="389" bestFit="1" customWidth="1"/>
    <col min="5928" max="5928" width="15.44140625" style="389" bestFit="1" customWidth="1"/>
    <col min="5929" max="5929" width="12.5546875" style="389" bestFit="1" customWidth="1"/>
    <col min="5930" max="6175" width="9.44140625" style="389"/>
    <col min="6176" max="6176" width="11.44140625" style="389" customWidth="1"/>
    <col min="6177" max="6177" width="39.44140625" style="389" customWidth="1"/>
    <col min="6178" max="6179" width="12.44140625" style="389" customWidth="1"/>
    <col min="6180" max="6180" width="16.44140625" style="389" customWidth="1"/>
    <col min="6181" max="6181" width="9.44140625" style="389"/>
    <col min="6182" max="6182" width="13" style="389" customWidth="1"/>
    <col min="6183" max="6183" width="13.44140625" style="389" bestFit="1" customWidth="1"/>
    <col min="6184" max="6184" width="15.44140625" style="389" bestFit="1" customWidth="1"/>
    <col min="6185" max="6185" width="12.5546875" style="389" bestFit="1" customWidth="1"/>
    <col min="6186" max="6431" width="9.44140625" style="389"/>
    <col min="6432" max="6432" width="11.44140625" style="389" customWidth="1"/>
    <col min="6433" max="6433" width="39.44140625" style="389" customWidth="1"/>
    <col min="6434" max="6435" width="12.44140625" style="389" customWidth="1"/>
    <col min="6436" max="6436" width="16.44140625" style="389" customWidth="1"/>
    <col min="6437" max="6437" width="9.44140625" style="389"/>
    <col min="6438" max="6438" width="13" style="389" customWidth="1"/>
    <col min="6439" max="6439" width="13.44140625" style="389" bestFit="1" customWidth="1"/>
    <col min="6440" max="6440" width="15.44140625" style="389" bestFit="1" customWidth="1"/>
    <col min="6441" max="6441" width="12.5546875" style="389" bestFit="1" customWidth="1"/>
    <col min="6442" max="6687" width="9.44140625" style="389"/>
    <col min="6688" max="6688" width="11.44140625" style="389" customWidth="1"/>
    <col min="6689" max="6689" width="39.44140625" style="389" customWidth="1"/>
    <col min="6690" max="6691" width="12.44140625" style="389" customWidth="1"/>
    <col min="6692" max="6692" width="16.44140625" style="389" customWidth="1"/>
    <col min="6693" max="6693" width="9.44140625" style="389"/>
    <col min="6694" max="6694" width="13" style="389" customWidth="1"/>
    <col min="6695" max="6695" width="13.44140625" style="389" bestFit="1" customWidth="1"/>
    <col min="6696" max="6696" width="15.44140625" style="389" bestFit="1" customWidth="1"/>
    <col min="6697" max="6697" width="12.5546875" style="389" bestFit="1" customWidth="1"/>
    <col min="6698" max="6943" width="9.44140625" style="389"/>
    <col min="6944" max="6944" width="11.44140625" style="389" customWidth="1"/>
    <col min="6945" max="6945" width="39.44140625" style="389" customWidth="1"/>
    <col min="6946" max="6947" width="12.44140625" style="389" customWidth="1"/>
    <col min="6948" max="6948" width="16.44140625" style="389" customWidth="1"/>
    <col min="6949" max="6949" width="9.44140625" style="389"/>
    <col min="6950" max="6950" width="13" style="389" customWidth="1"/>
    <col min="6951" max="6951" width="13.44140625" style="389" bestFit="1" customWidth="1"/>
    <col min="6952" max="6952" width="15.44140625" style="389" bestFit="1" customWidth="1"/>
    <col min="6953" max="6953" width="12.5546875" style="389" bestFit="1" customWidth="1"/>
    <col min="6954" max="7199" width="9.44140625" style="389"/>
    <col min="7200" max="7200" width="11.44140625" style="389" customWidth="1"/>
    <col min="7201" max="7201" width="39.44140625" style="389" customWidth="1"/>
    <col min="7202" max="7203" width="12.44140625" style="389" customWidth="1"/>
    <col min="7204" max="7204" width="16.44140625" style="389" customWidth="1"/>
    <col min="7205" max="7205" width="9.44140625" style="389"/>
    <col min="7206" max="7206" width="13" style="389" customWidth="1"/>
    <col min="7207" max="7207" width="13.44140625" style="389" bestFit="1" customWidth="1"/>
    <col min="7208" max="7208" width="15.44140625" style="389" bestFit="1" customWidth="1"/>
    <col min="7209" max="7209" width="12.5546875" style="389" bestFit="1" customWidth="1"/>
    <col min="7210" max="7455" width="9.44140625" style="389"/>
    <col min="7456" max="7456" width="11.44140625" style="389" customWidth="1"/>
    <col min="7457" max="7457" width="39.44140625" style="389" customWidth="1"/>
    <col min="7458" max="7459" width="12.44140625" style="389" customWidth="1"/>
    <col min="7460" max="7460" width="16.44140625" style="389" customWidth="1"/>
    <col min="7461" max="7461" width="9.44140625" style="389"/>
    <col min="7462" max="7462" width="13" style="389" customWidth="1"/>
    <col min="7463" max="7463" width="13.44140625" style="389" bestFit="1" customWidth="1"/>
    <col min="7464" max="7464" width="15.44140625" style="389" bestFit="1" customWidth="1"/>
    <col min="7465" max="7465" width="12.5546875" style="389" bestFit="1" customWidth="1"/>
    <col min="7466" max="7711" width="9.44140625" style="389"/>
    <col min="7712" max="7712" width="11.44140625" style="389" customWidth="1"/>
    <col min="7713" max="7713" width="39.44140625" style="389" customWidth="1"/>
    <col min="7714" max="7715" width="12.44140625" style="389" customWidth="1"/>
    <col min="7716" max="7716" width="16.44140625" style="389" customWidth="1"/>
    <col min="7717" max="7717" width="9.44140625" style="389"/>
    <col min="7718" max="7718" width="13" style="389" customWidth="1"/>
    <col min="7719" max="7719" width="13.44140625" style="389" bestFit="1" customWidth="1"/>
    <col min="7720" max="7720" width="15.44140625" style="389" bestFit="1" customWidth="1"/>
    <col min="7721" max="7721" width="12.5546875" style="389" bestFit="1" customWidth="1"/>
    <col min="7722" max="7967" width="9.44140625" style="389"/>
    <col min="7968" max="7968" width="11.44140625" style="389" customWidth="1"/>
    <col min="7969" max="7969" width="39.44140625" style="389" customWidth="1"/>
    <col min="7970" max="7971" width="12.44140625" style="389" customWidth="1"/>
    <col min="7972" max="7972" width="16.44140625" style="389" customWidth="1"/>
    <col min="7973" max="7973" width="9.44140625" style="389"/>
    <col min="7974" max="7974" width="13" style="389" customWidth="1"/>
    <col min="7975" max="7975" width="13.44140625" style="389" bestFit="1" customWidth="1"/>
    <col min="7976" max="7976" width="15.44140625" style="389" bestFit="1" customWidth="1"/>
    <col min="7977" max="7977" width="12.5546875" style="389" bestFit="1" customWidth="1"/>
    <col min="7978" max="8223" width="9.44140625" style="389"/>
    <col min="8224" max="8224" width="11.44140625" style="389" customWidth="1"/>
    <col min="8225" max="8225" width="39.44140625" style="389" customWidth="1"/>
    <col min="8226" max="8227" width="12.44140625" style="389" customWidth="1"/>
    <col min="8228" max="8228" width="16.44140625" style="389" customWidth="1"/>
    <col min="8229" max="8229" width="9.44140625" style="389"/>
    <col min="8230" max="8230" width="13" style="389" customWidth="1"/>
    <col min="8231" max="8231" width="13.44140625" style="389" bestFit="1" customWidth="1"/>
    <col min="8232" max="8232" width="15.44140625" style="389" bestFit="1" customWidth="1"/>
    <col min="8233" max="8233" width="12.5546875" style="389" bestFit="1" customWidth="1"/>
    <col min="8234" max="8479" width="9.44140625" style="389"/>
    <col min="8480" max="8480" width="11.44140625" style="389" customWidth="1"/>
    <col min="8481" max="8481" width="39.44140625" style="389" customWidth="1"/>
    <col min="8482" max="8483" width="12.44140625" style="389" customWidth="1"/>
    <col min="8484" max="8484" width="16.44140625" style="389" customWidth="1"/>
    <col min="8485" max="8485" width="9.44140625" style="389"/>
    <col min="8486" max="8486" width="13" style="389" customWidth="1"/>
    <col min="8487" max="8487" width="13.44140625" style="389" bestFit="1" customWidth="1"/>
    <col min="8488" max="8488" width="15.44140625" style="389" bestFit="1" customWidth="1"/>
    <col min="8489" max="8489" width="12.5546875" style="389" bestFit="1" customWidth="1"/>
    <col min="8490" max="8735" width="9.44140625" style="389"/>
    <col min="8736" max="8736" width="11.44140625" style="389" customWidth="1"/>
    <col min="8737" max="8737" width="39.44140625" style="389" customWidth="1"/>
    <col min="8738" max="8739" width="12.44140625" style="389" customWidth="1"/>
    <col min="8740" max="8740" width="16.44140625" style="389" customWidth="1"/>
    <col min="8741" max="8741" width="9.44140625" style="389"/>
    <col min="8742" max="8742" width="13" style="389" customWidth="1"/>
    <col min="8743" max="8743" width="13.44140625" style="389" bestFit="1" customWidth="1"/>
    <col min="8744" max="8744" width="15.44140625" style="389" bestFit="1" customWidth="1"/>
    <col min="8745" max="8745" width="12.5546875" style="389" bestFit="1" customWidth="1"/>
    <col min="8746" max="8991" width="9.44140625" style="389"/>
    <col min="8992" max="8992" width="11.44140625" style="389" customWidth="1"/>
    <col min="8993" max="8993" width="39.44140625" style="389" customWidth="1"/>
    <col min="8994" max="8995" width="12.44140625" style="389" customWidth="1"/>
    <col min="8996" max="8996" width="16.44140625" style="389" customWidth="1"/>
    <col min="8997" max="8997" width="9.44140625" style="389"/>
    <col min="8998" max="8998" width="13" style="389" customWidth="1"/>
    <col min="8999" max="8999" width="13.44140625" style="389" bestFit="1" customWidth="1"/>
    <col min="9000" max="9000" width="15.44140625" style="389" bestFit="1" customWidth="1"/>
    <col min="9001" max="9001" width="12.5546875" style="389" bestFit="1" customWidth="1"/>
    <col min="9002" max="9247" width="9.44140625" style="389"/>
    <col min="9248" max="9248" width="11.44140625" style="389" customWidth="1"/>
    <col min="9249" max="9249" width="39.44140625" style="389" customWidth="1"/>
    <col min="9250" max="9251" width="12.44140625" style="389" customWidth="1"/>
    <col min="9252" max="9252" width="16.44140625" style="389" customWidth="1"/>
    <col min="9253" max="9253" width="9.44140625" style="389"/>
    <col min="9254" max="9254" width="13" style="389" customWidth="1"/>
    <col min="9255" max="9255" width="13.44140625" style="389" bestFit="1" customWidth="1"/>
    <col min="9256" max="9256" width="15.44140625" style="389" bestFit="1" customWidth="1"/>
    <col min="9257" max="9257" width="12.5546875" style="389" bestFit="1" customWidth="1"/>
    <col min="9258" max="9503" width="9.44140625" style="389"/>
    <col min="9504" max="9504" width="11.44140625" style="389" customWidth="1"/>
    <col min="9505" max="9505" width="39.44140625" style="389" customWidth="1"/>
    <col min="9506" max="9507" width="12.44140625" style="389" customWidth="1"/>
    <col min="9508" max="9508" width="16.44140625" style="389" customWidth="1"/>
    <col min="9509" max="9509" width="9.44140625" style="389"/>
    <col min="9510" max="9510" width="13" style="389" customWidth="1"/>
    <col min="9511" max="9511" width="13.44140625" style="389" bestFit="1" customWidth="1"/>
    <col min="9512" max="9512" width="15.44140625" style="389" bestFit="1" customWidth="1"/>
    <col min="9513" max="9513" width="12.5546875" style="389" bestFit="1" customWidth="1"/>
    <col min="9514" max="9759" width="9.44140625" style="389"/>
    <col min="9760" max="9760" width="11.44140625" style="389" customWidth="1"/>
    <col min="9761" max="9761" width="39.44140625" style="389" customWidth="1"/>
    <col min="9762" max="9763" width="12.44140625" style="389" customWidth="1"/>
    <col min="9764" max="9764" width="16.44140625" style="389" customWidth="1"/>
    <col min="9765" max="9765" width="9.44140625" style="389"/>
    <col min="9766" max="9766" width="13" style="389" customWidth="1"/>
    <col min="9767" max="9767" width="13.44140625" style="389" bestFit="1" customWidth="1"/>
    <col min="9768" max="9768" width="15.44140625" style="389" bestFit="1" customWidth="1"/>
    <col min="9769" max="9769" width="12.5546875" style="389" bestFit="1" customWidth="1"/>
    <col min="9770" max="10015" width="9.44140625" style="389"/>
    <col min="10016" max="10016" width="11.44140625" style="389" customWidth="1"/>
    <col min="10017" max="10017" width="39.44140625" style="389" customWidth="1"/>
    <col min="10018" max="10019" width="12.44140625" style="389" customWidth="1"/>
    <col min="10020" max="10020" width="16.44140625" style="389" customWidth="1"/>
    <col min="10021" max="10021" width="9.44140625" style="389"/>
    <col min="10022" max="10022" width="13" style="389" customWidth="1"/>
    <col min="10023" max="10023" width="13.44140625" style="389" bestFit="1" customWidth="1"/>
    <col min="10024" max="10024" width="15.44140625" style="389" bestFit="1" customWidth="1"/>
    <col min="10025" max="10025" width="12.5546875" style="389" bestFit="1" customWidth="1"/>
    <col min="10026" max="10271" width="9.44140625" style="389"/>
    <col min="10272" max="10272" width="11.44140625" style="389" customWidth="1"/>
    <col min="10273" max="10273" width="39.44140625" style="389" customWidth="1"/>
    <col min="10274" max="10275" width="12.44140625" style="389" customWidth="1"/>
    <col min="10276" max="10276" width="16.44140625" style="389" customWidth="1"/>
    <col min="10277" max="10277" width="9.44140625" style="389"/>
    <col min="10278" max="10278" width="13" style="389" customWidth="1"/>
    <col min="10279" max="10279" width="13.44140625" style="389" bestFit="1" customWidth="1"/>
    <col min="10280" max="10280" width="15.44140625" style="389" bestFit="1" customWidth="1"/>
    <col min="10281" max="10281" width="12.5546875" style="389" bestFit="1" customWidth="1"/>
    <col min="10282" max="10527" width="9.44140625" style="389"/>
    <col min="10528" max="10528" width="11.44140625" style="389" customWidth="1"/>
    <col min="10529" max="10529" width="39.44140625" style="389" customWidth="1"/>
    <col min="10530" max="10531" width="12.44140625" style="389" customWidth="1"/>
    <col min="10532" max="10532" width="16.44140625" style="389" customWidth="1"/>
    <col min="10533" max="10533" width="9.44140625" style="389"/>
    <col min="10534" max="10534" width="13" style="389" customWidth="1"/>
    <col min="10535" max="10535" width="13.44140625" style="389" bestFit="1" customWidth="1"/>
    <col min="10536" max="10536" width="15.44140625" style="389" bestFit="1" customWidth="1"/>
    <col min="10537" max="10537" width="12.5546875" style="389" bestFit="1" customWidth="1"/>
    <col min="10538" max="10783" width="9.44140625" style="389"/>
    <col min="10784" max="10784" width="11.44140625" style="389" customWidth="1"/>
    <col min="10785" max="10785" width="39.44140625" style="389" customWidth="1"/>
    <col min="10786" max="10787" width="12.44140625" style="389" customWidth="1"/>
    <col min="10788" max="10788" width="16.44140625" style="389" customWidth="1"/>
    <col min="10789" max="10789" width="9.44140625" style="389"/>
    <col min="10790" max="10790" width="13" style="389" customWidth="1"/>
    <col min="10791" max="10791" width="13.44140625" style="389" bestFit="1" customWidth="1"/>
    <col min="10792" max="10792" width="15.44140625" style="389" bestFit="1" customWidth="1"/>
    <col min="10793" max="10793" width="12.5546875" style="389" bestFit="1" customWidth="1"/>
    <col min="10794" max="11039" width="9.44140625" style="389"/>
    <col min="11040" max="11040" width="11.44140625" style="389" customWidth="1"/>
    <col min="11041" max="11041" width="39.44140625" style="389" customWidth="1"/>
    <col min="11042" max="11043" width="12.44140625" style="389" customWidth="1"/>
    <col min="11044" max="11044" width="16.44140625" style="389" customWidth="1"/>
    <col min="11045" max="11045" width="9.44140625" style="389"/>
    <col min="11046" max="11046" width="13" style="389" customWidth="1"/>
    <col min="11047" max="11047" width="13.44140625" style="389" bestFit="1" customWidth="1"/>
    <col min="11048" max="11048" width="15.44140625" style="389" bestFit="1" customWidth="1"/>
    <col min="11049" max="11049" width="12.5546875" style="389" bestFit="1" customWidth="1"/>
    <col min="11050" max="11295" width="9.44140625" style="389"/>
    <col min="11296" max="11296" width="11.44140625" style="389" customWidth="1"/>
    <col min="11297" max="11297" width="39.44140625" style="389" customWidth="1"/>
    <col min="11298" max="11299" width="12.44140625" style="389" customWidth="1"/>
    <col min="11300" max="11300" width="16.44140625" style="389" customWidth="1"/>
    <col min="11301" max="11301" width="9.44140625" style="389"/>
    <col min="11302" max="11302" width="13" style="389" customWidth="1"/>
    <col min="11303" max="11303" width="13.44140625" style="389" bestFit="1" customWidth="1"/>
    <col min="11304" max="11304" width="15.44140625" style="389" bestFit="1" customWidth="1"/>
    <col min="11305" max="11305" width="12.5546875" style="389" bestFit="1" customWidth="1"/>
    <col min="11306" max="11551" width="9.44140625" style="389"/>
    <col min="11552" max="11552" width="11.44140625" style="389" customWidth="1"/>
    <col min="11553" max="11553" width="39.44140625" style="389" customWidth="1"/>
    <col min="11554" max="11555" width="12.44140625" style="389" customWidth="1"/>
    <col min="11556" max="11556" width="16.44140625" style="389" customWidth="1"/>
    <col min="11557" max="11557" width="9.44140625" style="389"/>
    <col min="11558" max="11558" width="13" style="389" customWidth="1"/>
    <col min="11559" max="11559" width="13.44140625" style="389" bestFit="1" customWidth="1"/>
    <col min="11560" max="11560" width="15.44140625" style="389" bestFit="1" customWidth="1"/>
    <col min="11561" max="11561" width="12.5546875" style="389" bestFit="1" customWidth="1"/>
    <col min="11562" max="11807" width="9.44140625" style="389"/>
    <col min="11808" max="11808" width="11.44140625" style="389" customWidth="1"/>
    <col min="11809" max="11809" width="39.44140625" style="389" customWidth="1"/>
    <col min="11810" max="11811" width="12.44140625" style="389" customWidth="1"/>
    <col min="11812" max="11812" width="16.44140625" style="389" customWidth="1"/>
    <col min="11813" max="11813" width="9.44140625" style="389"/>
    <col min="11814" max="11814" width="13" style="389" customWidth="1"/>
    <col min="11815" max="11815" width="13.44140625" style="389" bestFit="1" customWidth="1"/>
    <col min="11816" max="11816" width="15.44140625" style="389" bestFit="1" customWidth="1"/>
    <col min="11817" max="11817" width="12.5546875" style="389" bestFit="1" customWidth="1"/>
    <col min="11818" max="12063" width="9.44140625" style="389"/>
    <col min="12064" max="12064" width="11.44140625" style="389" customWidth="1"/>
    <col min="12065" max="12065" width="39.44140625" style="389" customWidth="1"/>
    <col min="12066" max="12067" width="12.44140625" style="389" customWidth="1"/>
    <col min="12068" max="12068" width="16.44140625" style="389" customWidth="1"/>
    <col min="12069" max="12069" width="9.44140625" style="389"/>
    <col min="12070" max="12070" width="13" style="389" customWidth="1"/>
    <col min="12071" max="12071" width="13.44140625" style="389" bestFit="1" customWidth="1"/>
    <col min="12072" max="12072" width="15.44140625" style="389" bestFit="1" customWidth="1"/>
    <col min="12073" max="12073" width="12.5546875" style="389" bestFit="1" customWidth="1"/>
    <col min="12074" max="12319" width="9.44140625" style="389"/>
    <col min="12320" max="12320" width="11.44140625" style="389" customWidth="1"/>
    <col min="12321" max="12321" width="39.44140625" style="389" customWidth="1"/>
    <col min="12322" max="12323" width="12.44140625" style="389" customWidth="1"/>
    <col min="12324" max="12324" width="16.44140625" style="389" customWidth="1"/>
    <col min="12325" max="12325" width="9.44140625" style="389"/>
    <col min="12326" max="12326" width="13" style="389" customWidth="1"/>
    <col min="12327" max="12327" width="13.44140625" style="389" bestFit="1" customWidth="1"/>
    <col min="12328" max="12328" width="15.44140625" style="389" bestFit="1" customWidth="1"/>
    <col min="12329" max="12329" width="12.5546875" style="389" bestFit="1" customWidth="1"/>
    <col min="12330" max="12575" width="9.44140625" style="389"/>
    <col min="12576" max="12576" width="11.44140625" style="389" customWidth="1"/>
    <col min="12577" max="12577" width="39.44140625" style="389" customWidth="1"/>
    <col min="12578" max="12579" width="12.44140625" style="389" customWidth="1"/>
    <col min="12580" max="12580" width="16.44140625" style="389" customWidth="1"/>
    <col min="12581" max="12581" width="9.44140625" style="389"/>
    <col min="12582" max="12582" width="13" style="389" customWidth="1"/>
    <col min="12583" max="12583" width="13.44140625" style="389" bestFit="1" customWidth="1"/>
    <col min="12584" max="12584" width="15.44140625" style="389" bestFit="1" customWidth="1"/>
    <col min="12585" max="12585" width="12.5546875" style="389" bestFit="1" customWidth="1"/>
    <col min="12586" max="12831" width="9.44140625" style="389"/>
    <col min="12832" max="12832" width="11.44140625" style="389" customWidth="1"/>
    <col min="12833" max="12833" width="39.44140625" style="389" customWidth="1"/>
    <col min="12834" max="12835" width="12.44140625" style="389" customWidth="1"/>
    <col min="12836" max="12836" width="16.44140625" style="389" customWidth="1"/>
    <col min="12837" max="12837" width="9.44140625" style="389"/>
    <col min="12838" max="12838" width="13" style="389" customWidth="1"/>
    <col min="12839" max="12839" width="13.44140625" style="389" bestFit="1" customWidth="1"/>
    <col min="12840" max="12840" width="15.44140625" style="389" bestFit="1" customWidth="1"/>
    <col min="12841" max="12841" width="12.5546875" style="389" bestFit="1" customWidth="1"/>
    <col min="12842" max="13087" width="9.44140625" style="389"/>
    <col min="13088" max="13088" width="11.44140625" style="389" customWidth="1"/>
    <col min="13089" max="13089" width="39.44140625" style="389" customWidth="1"/>
    <col min="13090" max="13091" width="12.44140625" style="389" customWidth="1"/>
    <col min="13092" max="13092" width="16.44140625" style="389" customWidth="1"/>
    <col min="13093" max="13093" width="9.44140625" style="389"/>
    <col min="13094" max="13094" width="13" style="389" customWidth="1"/>
    <col min="13095" max="13095" width="13.44140625" style="389" bestFit="1" customWidth="1"/>
    <col min="13096" max="13096" width="15.44140625" style="389" bestFit="1" customWidth="1"/>
    <col min="13097" max="13097" width="12.5546875" style="389" bestFit="1" customWidth="1"/>
    <col min="13098" max="13343" width="9.44140625" style="389"/>
    <col min="13344" max="13344" width="11.44140625" style="389" customWidth="1"/>
    <col min="13345" max="13345" width="39.44140625" style="389" customWidth="1"/>
    <col min="13346" max="13347" width="12.44140625" style="389" customWidth="1"/>
    <col min="13348" max="13348" width="16.44140625" style="389" customWidth="1"/>
    <col min="13349" max="13349" width="9.44140625" style="389"/>
    <col min="13350" max="13350" width="13" style="389" customWidth="1"/>
    <col min="13351" max="13351" width="13.44140625" style="389" bestFit="1" customWidth="1"/>
    <col min="13352" max="13352" width="15.44140625" style="389" bestFit="1" customWidth="1"/>
    <col min="13353" max="13353" width="12.5546875" style="389" bestFit="1" customWidth="1"/>
    <col min="13354" max="13599" width="9.44140625" style="389"/>
    <col min="13600" max="13600" width="11.44140625" style="389" customWidth="1"/>
    <col min="13601" max="13601" width="39.44140625" style="389" customWidth="1"/>
    <col min="13602" max="13603" width="12.44140625" style="389" customWidth="1"/>
    <col min="13604" max="13604" width="16.44140625" style="389" customWidth="1"/>
    <col min="13605" max="13605" width="9.44140625" style="389"/>
    <col min="13606" max="13606" width="13" style="389" customWidth="1"/>
    <col min="13607" max="13607" width="13.44140625" style="389" bestFit="1" customWidth="1"/>
    <col min="13608" max="13608" width="15.44140625" style="389" bestFit="1" customWidth="1"/>
    <col min="13609" max="13609" width="12.5546875" style="389" bestFit="1" customWidth="1"/>
    <col min="13610" max="13855" width="9.44140625" style="389"/>
    <col min="13856" max="13856" width="11.44140625" style="389" customWidth="1"/>
    <col min="13857" max="13857" width="39.44140625" style="389" customWidth="1"/>
    <col min="13858" max="13859" width="12.44140625" style="389" customWidth="1"/>
    <col min="13860" max="13860" width="16.44140625" style="389" customWidth="1"/>
    <col min="13861" max="13861" width="9.44140625" style="389"/>
    <col min="13862" max="13862" width="13" style="389" customWidth="1"/>
    <col min="13863" max="13863" width="13.44140625" style="389" bestFit="1" customWidth="1"/>
    <col min="13864" max="13864" width="15.44140625" style="389" bestFit="1" customWidth="1"/>
    <col min="13865" max="13865" width="12.5546875" style="389" bestFit="1" customWidth="1"/>
    <col min="13866" max="14111" width="9.44140625" style="389"/>
    <col min="14112" max="14112" width="11.44140625" style="389" customWidth="1"/>
    <col min="14113" max="14113" width="39.44140625" style="389" customWidth="1"/>
    <col min="14114" max="14115" width="12.44140625" style="389" customWidth="1"/>
    <col min="14116" max="14116" width="16.44140625" style="389" customWidth="1"/>
    <col min="14117" max="14117" width="9.44140625" style="389"/>
    <col min="14118" max="14118" width="13" style="389" customWidth="1"/>
    <col min="14119" max="14119" width="13.44140625" style="389" bestFit="1" customWidth="1"/>
    <col min="14120" max="14120" width="15.44140625" style="389" bestFit="1" customWidth="1"/>
    <col min="14121" max="14121" width="12.5546875" style="389" bestFit="1" customWidth="1"/>
    <col min="14122" max="14367" width="9.44140625" style="389"/>
    <col min="14368" max="14368" width="11.44140625" style="389" customWidth="1"/>
    <col min="14369" max="14369" width="39.44140625" style="389" customWidth="1"/>
    <col min="14370" max="14371" width="12.44140625" style="389" customWidth="1"/>
    <col min="14372" max="14372" width="16.44140625" style="389" customWidth="1"/>
    <col min="14373" max="14373" width="9.44140625" style="389"/>
    <col min="14374" max="14374" width="13" style="389" customWidth="1"/>
    <col min="14375" max="14375" width="13.44140625" style="389" bestFit="1" customWidth="1"/>
    <col min="14376" max="14376" width="15.44140625" style="389" bestFit="1" customWidth="1"/>
    <col min="14377" max="14377" width="12.5546875" style="389" bestFit="1" customWidth="1"/>
    <col min="14378" max="14623" width="9.44140625" style="389"/>
    <col min="14624" max="14624" width="11.44140625" style="389" customWidth="1"/>
    <col min="14625" max="14625" width="39.44140625" style="389" customWidth="1"/>
    <col min="14626" max="14627" width="12.44140625" style="389" customWidth="1"/>
    <col min="14628" max="14628" width="16.44140625" style="389" customWidth="1"/>
    <col min="14629" max="14629" width="9.44140625" style="389"/>
    <col min="14630" max="14630" width="13" style="389" customWidth="1"/>
    <col min="14631" max="14631" width="13.44140625" style="389" bestFit="1" customWidth="1"/>
    <col min="14632" max="14632" width="15.44140625" style="389" bestFit="1" customWidth="1"/>
    <col min="14633" max="14633" width="12.5546875" style="389" bestFit="1" customWidth="1"/>
    <col min="14634" max="14879" width="9.44140625" style="389"/>
    <col min="14880" max="14880" width="11.44140625" style="389" customWidth="1"/>
    <col min="14881" max="14881" width="39.44140625" style="389" customWidth="1"/>
    <col min="14882" max="14883" width="12.44140625" style="389" customWidth="1"/>
    <col min="14884" max="14884" width="16.44140625" style="389" customWidth="1"/>
    <col min="14885" max="14885" width="9.44140625" style="389"/>
    <col min="14886" max="14886" width="13" style="389" customWidth="1"/>
    <col min="14887" max="14887" width="13.44140625" style="389" bestFit="1" customWidth="1"/>
    <col min="14888" max="14888" width="15.44140625" style="389" bestFit="1" customWidth="1"/>
    <col min="14889" max="14889" width="12.5546875" style="389" bestFit="1" customWidth="1"/>
    <col min="14890" max="15135" width="9.44140625" style="389"/>
    <col min="15136" max="15136" width="11.44140625" style="389" customWidth="1"/>
    <col min="15137" max="15137" width="39.44140625" style="389" customWidth="1"/>
    <col min="15138" max="15139" width="12.44140625" style="389" customWidth="1"/>
    <col min="15140" max="15140" width="16.44140625" style="389" customWidth="1"/>
    <col min="15141" max="15141" width="9.44140625" style="389"/>
    <col min="15142" max="15142" width="13" style="389" customWidth="1"/>
    <col min="15143" max="15143" width="13.44140625" style="389" bestFit="1" customWidth="1"/>
    <col min="15144" max="15144" width="15.44140625" style="389" bestFit="1" customWidth="1"/>
    <col min="15145" max="15145" width="12.5546875" style="389" bestFit="1" customWidth="1"/>
    <col min="15146" max="15391" width="9.44140625" style="389"/>
    <col min="15392" max="15392" width="11.44140625" style="389" customWidth="1"/>
    <col min="15393" max="15393" width="39.44140625" style="389" customWidth="1"/>
    <col min="15394" max="15395" width="12.44140625" style="389" customWidth="1"/>
    <col min="15396" max="15396" width="16.44140625" style="389" customWidth="1"/>
    <col min="15397" max="15397" width="9.44140625" style="389"/>
    <col min="15398" max="15398" width="13" style="389" customWidth="1"/>
    <col min="15399" max="15399" width="13.44140625" style="389" bestFit="1" customWidth="1"/>
    <col min="15400" max="15400" width="15.44140625" style="389" bestFit="1" customWidth="1"/>
    <col min="15401" max="15401" width="12.5546875" style="389" bestFit="1" customWidth="1"/>
    <col min="15402" max="15647" width="9.44140625" style="389"/>
    <col min="15648" max="15648" width="11.44140625" style="389" customWidth="1"/>
    <col min="15649" max="15649" width="39.44140625" style="389" customWidth="1"/>
    <col min="15650" max="15651" width="12.44140625" style="389" customWidth="1"/>
    <col min="15652" max="15652" width="16.44140625" style="389" customWidth="1"/>
    <col min="15653" max="15653" width="9.44140625" style="389"/>
    <col min="15654" max="15654" width="13" style="389" customWidth="1"/>
    <col min="15655" max="15655" width="13.44140625" style="389" bestFit="1" customWidth="1"/>
    <col min="15656" max="15656" width="15.44140625" style="389" bestFit="1" customWidth="1"/>
    <col min="15657" max="15657" width="12.5546875" style="389" bestFit="1" customWidth="1"/>
    <col min="15658" max="15903" width="9.44140625" style="389"/>
    <col min="15904" max="15904" width="11.44140625" style="389" customWidth="1"/>
    <col min="15905" max="15905" width="39.44140625" style="389" customWidth="1"/>
    <col min="15906" max="15907" width="12.44140625" style="389" customWidth="1"/>
    <col min="15908" max="15908" width="16.44140625" style="389" customWidth="1"/>
    <col min="15909" max="15909" width="9.44140625" style="389"/>
    <col min="15910" max="15910" width="13" style="389" customWidth="1"/>
    <col min="15911" max="15911" width="13.44140625" style="389" bestFit="1" customWidth="1"/>
    <col min="15912" max="15912" width="15.44140625" style="389" bestFit="1" customWidth="1"/>
    <col min="15913" max="15913" width="12.5546875" style="389" bestFit="1" customWidth="1"/>
    <col min="15914" max="16159" width="9.44140625" style="389"/>
    <col min="16160" max="16160" width="11.44140625" style="389" customWidth="1"/>
    <col min="16161" max="16161" width="39.44140625" style="389" customWidth="1"/>
    <col min="16162" max="16163" width="12.44140625" style="389" customWidth="1"/>
    <col min="16164" max="16164" width="16.44140625" style="389" customWidth="1"/>
    <col min="16165" max="16165" width="9.44140625" style="389"/>
    <col min="16166" max="16166" width="13" style="389" customWidth="1"/>
    <col min="16167" max="16167" width="13.44140625" style="389" bestFit="1" customWidth="1"/>
    <col min="16168" max="16168" width="15.44140625" style="389" bestFit="1" customWidth="1"/>
    <col min="16169" max="16169" width="12.5546875" style="389" bestFit="1" customWidth="1"/>
    <col min="16170" max="16384" width="9.44140625" style="389"/>
  </cols>
  <sheetData>
    <row r="1" spans="1:44" s="200" customFormat="1" ht="21" customHeight="1" x14ac:dyDescent="0.3">
      <c r="A1" s="20" t="s">
        <v>1344</v>
      </c>
      <c r="B1" s="199"/>
      <c r="C1" s="199"/>
      <c r="D1" s="875"/>
      <c r="E1" s="875"/>
    </row>
    <row r="2" spans="1:44" s="200" customFormat="1" ht="21" customHeight="1" x14ac:dyDescent="0.25">
      <c r="A2" s="18" t="s">
        <v>26</v>
      </c>
      <c r="B2" s="445" t="str">
        <f>'Schedule 2_Balance Sheet'!C2</f>
        <v>Tufts Associated Health Plans, Inc. (TAHMO)</v>
      </c>
      <c r="C2" s="446"/>
      <c r="D2" s="446"/>
      <c r="E2" s="446"/>
      <c r="F2" s="447"/>
    </row>
    <row r="3" spans="1:44" s="200" customFormat="1" ht="21" customHeight="1" x14ac:dyDescent="0.25">
      <c r="A3" s="18" t="s">
        <v>0</v>
      </c>
      <c r="B3" s="580" t="str">
        <f>'Schedule 2_Balance Sheet'!C3</f>
        <v>01/01/2024 - 12/31/2024</v>
      </c>
      <c r="C3" s="581"/>
      <c r="D3" s="581"/>
      <c r="E3" s="581"/>
      <c r="F3" s="582"/>
    </row>
    <row r="4" spans="1:44" s="200" customFormat="1" ht="21" customHeight="1" x14ac:dyDescent="0.25">
      <c r="A4" s="18" t="s">
        <v>27</v>
      </c>
      <c r="B4" s="449">
        <f>'Schedule 2_Balance Sheet'!C4</f>
        <v>45657</v>
      </c>
      <c r="C4" s="446"/>
      <c r="D4" s="446"/>
      <c r="E4" s="446"/>
      <c r="F4" s="447"/>
    </row>
    <row r="5" spans="1:44" s="200" customFormat="1" ht="21" customHeight="1" x14ac:dyDescent="0.25">
      <c r="A5" s="18" t="s">
        <v>28</v>
      </c>
      <c r="B5" s="445" t="str">
        <f>'Schedule 2_Balance Sheet'!C5</f>
        <v>Roshni Parikh</v>
      </c>
      <c r="C5" s="446"/>
      <c r="D5" s="446"/>
      <c r="E5" s="446"/>
      <c r="F5" s="447"/>
    </row>
    <row r="6" spans="1:44" s="200" customFormat="1" ht="21" customHeight="1" x14ac:dyDescent="0.25">
      <c r="A6" s="18" t="s">
        <v>29</v>
      </c>
      <c r="B6" s="449">
        <f>'Schedule 2_Balance Sheet'!C6</f>
        <v>45657</v>
      </c>
      <c r="C6" s="446"/>
      <c r="D6" s="446"/>
      <c r="E6" s="446"/>
      <c r="F6" s="447"/>
      <c r="H6" s="387"/>
      <c r="M6" s="387"/>
      <c r="O6" s="387"/>
    </row>
    <row r="7" spans="1:44" ht="13.8" thickBot="1" x14ac:dyDescent="0.3">
      <c r="A7" s="199" t="s">
        <v>543</v>
      </c>
      <c r="B7" s="199"/>
      <c r="C7" s="199"/>
      <c r="D7" s="199"/>
      <c r="E7" s="199"/>
      <c r="F7" s="200"/>
      <c r="G7" s="200"/>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row>
    <row r="8" spans="1:44" ht="13.8" thickBot="1" x14ac:dyDescent="0.3">
      <c r="A8" s="400" t="s">
        <v>214</v>
      </c>
      <c r="B8" s="113">
        <f>'Schedule 1_Enrollment'!L15</f>
        <v>35668.094361566349</v>
      </c>
      <c r="C8" s="113">
        <f>'Schedule 1_Enrollment'!L22</f>
        <v>37325.877526628705</v>
      </c>
      <c r="D8" s="113">
        <f>'Schedule 1_Enrollment'!L29</f>
        <v>39068.834608763871</v>
      </c>
      <c r="E8" s="113">
        <f>'Schedule 1_Enrollment'!L36</f>
        <v>40830.240419423695</v>
      </c>
      <c r="F8" s="316">
        <f>B8+C8+D8+E8</f>
        <v>152893.04691638262</v>
      </c>
      <c r="G8" s="199"/>
      <c r="H8" s="199"/>
      <c r="I8" s="199"/>
      <c r="J8" s="199"/>
      <c r="K8" s="199"/>
      <c r="L8" s="199"/>
      <c r="M8" s="199"/>
      <c r="N8" s="199"/>
      <c r="O8" s="199"/>
      <c r="P8" s="199"/>
      <c r="Q8" s="199"/>
      <c r="R8" s="199"/>
      <c r="S8" s="199"/>
      <c r="T8" s="199"/>
      <c r="U8" s="199"/>
      <c r="V8" s="199"/>
      <c r="W8" s="199"/>
      <c r="X8" s="199"/>
      <c r="Y8" s="199"/>
      <c r="Z8" s="199"/>
      <c r="AA8" s="199"/>
      <c r="AB8" s="199"/>
      <c r="AC8" s="199"/>
      <c r="AD8" s="199"/>
      <c r="AE8" s="199"/>
      <c r="AF8" s="199"/>
      <c r="AG8" s="199"/>
      <c r="AH8" s="199"/>
      <c r="AI8" s="199"/>
      <c r="AJ8" s="199"/>
      <c r="AK8" s="199"/>
      <c r="AL8" s="199"/>
      <c r="AM8" s="199"/>
      <c r="AN8" s="199"/>
      <c r="AO8" s="199"/>
    </row>
    <row r="9" spans="1:44" s="391" customFormat="1" ht="13.5" customHeight="1" thickBot="1" x14ac:dyDescent="0.3">
      <c r="A9" s="401"/>
      <c r="B9" s="402" t="s">
        <v>217</v>
      </c>
      <c r="C9" s="402"/>
      <c r="D9" s="402"/>
      <c r="E9" s="402"/>
      <c r="F9" s="403"/>
      <c r="G9" s="404" t="s">
        <v>218</v>
      </c>
      <c r="H9" s="402"/>
      <c r="I9" s="402"/>
      <c r="J9" s="402"/>
      <c r="K9" s="403"/>
      <c r="L9" s="405" t="s">
        <v>219</v>
      </c>
      <c r="M9" s="406"/>
      <c r="N9" s="406"/>
      <c r="O9" s="406"/>
      <c r="P9" s="407"/>
      <c r="Q9" s="408" t="s">
        <v>220</v>
      </c>
      <c r="R9" s="409"/>
      <c r="S9" s="409"/>
      <c r="T9" s="409"/>
      <c r="U9" s="410"/>
      <c r="V9" s="408" t="s">
        <v>221</v>
      </c>
      <c r="W9" s="409"/>
      <c r="X9" s="409"/>
      <c r="Y9" s="409"/>
      <c r="Z9" s="410"/>
      <c r="AA9" s="408" t="s">
        <v>222</v>
      </c>
      <c r="AB9" s="409"/>
      <c r="AC9" s="409"/>
      <c r="AD9" s="409"/>
      <c r="AE9" s="410"/>
      <c r="AF9" s="411" t="s">
        <v>223</v>
      </c>
      <c r="AG9" s="412"/>
      <c r="AH9" s="412"/>
      <c r="AI9" s="412"/>
      <c r="AJ9" s="413"/>
      <c r="AK9" s="414" t="s">
        <v>215</v>
      </c>
      <c r="AL9" s="412"/>
      <c r="AM9" s="412"/>
      <c r="AN9" s="412"/>
      <c r="AO9" s="413"/>
      <c r="AR9" s="392"/>
    </row>
    <row r="10" spans="1:44" s="391" customFormat="1" x14ac:dyDescent="0.25">
      <c r="A10" s="317" t="s">
        <v>225</v>
      </c>
      <c r="B10" s="118" t="s">
        <v>126</v>
      </c>
      <c r="C10" s="118" t="s">
        <v>127</v>
      </c>
      <c r="D10" s="118" t="s">
        <v>128</v>
      </c>
      <c r="E10" s="118" t="s">
        <v>129</v>
      </c>
      <c r="F10" s="118" t="s">
        <v>205</v>
      </c>
      <c r="G10" s="118" t="str">
        <f>B10</f>
        <v>Q1</v>
      </c>
      <c r="H10" s="118" t="str">
        <f>C10</f>
        <v>Q2</v>
      </c>
      <c r="I10" s="118" t="str">
        <f>D10</f>
        <v>Q3</v>
      </c>
      <c r="J10" s="118" t="str">
        <f>E10</f>
        <v>Q4</v>
      </c>
      <c r="K10" s="118" t="s">
        <v>205</v>
      </c>
      <c r="L10" s="118" t="str">
        <f>G10</f>
        <v>Q1</v>
      </c>
      <c r="M10" s="118" t="str">
        <f>H10</f>
        <v>Q2</v>
      </c>
      <c r="N10" s="118" t="str">
        <f>I10</f>
        <v>Q3</v>
      </c>
      <c r="O10" s="118" t="str">
        <f>J10</f>
        <v>Q4</v>
      </c>
      <c r="P10" s="118" t="s">
        <v>205</v>
      </c>
      <c r="Q10" s="118" t="str">
        <f>L10</f>
        <v>Q1</v>
      </c>
      <c r="R10" s="118" t="str">
        <f>M10</f>
        <v>Q2</v>
      </c>
      <c r="S10" s="118" t="str">
        <f>N10</f>
        <v>Q3</v>
      </c>
      <c r="T10" s="118" t="str">
        <f>O10</f>
        <v>Q4</v>
      </c>
      <c r="U10" s="118" t="s">
        <v>205</v>
      </c>
      <c r="V10" s="118" t="str">
        <f>Q10</f>
        <v>Q1</v>
      </c>
      <c r="W10" s="118" t="str">
        <f>R10</f>
        <v>Q2</v>
      </c>
      <c r="X10" s="118" t="str">
        <f>S10</f>
        <v>Q3</v>
      </c>
      <c r="Y10" s="118" t="str">
        <f>T10</f>
        <v>Q4</v>
      </c>
      <c r="Z10" s="118" t="s">
        <v>205</v>
      </c>
      <c r="AA10" s="118" t="str">
        <f>V10</f>
        <v>Q1</v>
      </c>
      <c r="AB10" s="118" t="str">
        <f>W10</f>
        <v>Q2</v>
      </c>
      <c r="AC10" s="118" t="str">
        <f>X10</f>
        <v>Q3</v>
      </c>
      <c r="AD10" s="118" t="str">
        <f>Y10</f>
        <v>Q4</v>
      </c>
      <c r="AE10" s="118" t="s">
        <v>205</v>
      </c>
      <c r="AF10" s="118" t="str">
        <f>AA10</f>
        <v>Q1</v>
      </c>
      <c r="AG10" s="118" t="str">
        <f>AB10</f>
        <v>Q2</v>
      </c>
      <c r="AH10" s="118" t="str">
        <f>AC10</f>
        <v>Q3</v>
      </c>
      <c r="AI10" s="118" t="str">
        <f>AD10</f>
        <v>Q4</v>
      </c>
      <c r="AJ10" s="118" t="s">
        <v>205</v>
      </c>
      <c r="AK10" s="119" t="str">
        <f t="shared" ref="AK10:AN10" si="0">AF10</f>
        <v>Q1</v>
      </c>
      <c r="AL10" s="119" t="str">
        <f t="shared" si="0"/>
        <v>Q2</v>
      </c>
      <c r="AM10" s="119" t="str">
        <f t="shared" si="0"/>
        <v>Q3</v>
      </c>
      <c r="AN10" s="119" t="str">
        <f t="shared" si="0"/>
        <v>Q4</v>
      </c>
      <c r="AO10" s="120" t="s">
        <v>205</v>
      </c>
      <c r="AR10" s="392"/>
    </row>
    <row r="11" spans="1:44" s="393" customFormat="1" x14ac:dyDescent="0.25">
      <c r="A11" s="318" t="s">
        <v>224</v>
      </c>
      <c r="B11" s="332"/>
      <c r="C11" s="332"/>
      <c r="D11" s="332"/>
      <c r="E11" s="332"/>
      <c r="F11" s="332"/>
      <c r="G11" s="332"/>
      <c r="H11" s="332"/>
      <c r="I11" s="332"/>
      <c r="J11" s="332"/>
      <c r="K11" s="332"/>
      <c r="L11" s="333"/>
      <c r="M11" s="333"/>
      <c r="N11" s="333"/>
      <c r="O11" s="333"/>
      <c r="P11" s="333"/>
      <c r="Q11" s="334"/>
      <c r="R11" s="334"/>
      <c r="S11" s="334"/>
      <c r="T11" s="334"/>
      <c r="U11" s="334"/>
      <c r="V11" s="334"/>
      <c r="W11" s="334"/>
      <c r="X11" s="334"/>
      <c r="Y11" s="334"/>
      <c r="Z11" s="334"/>
      <c r="AA11" s="334"/>
      <c r="AB11" s="334"/>
      <c r="AC11" s="334"/>
      <c r="AD11" s="334"/>
      <c r="AE11" s="334"/>
      <c r="AF11" s="335"/>
      <c r="AG11" s="335"/>
      <c r="AH11" s="335"/>
      <c r="AI11" s="335"/>
      <c r="AJ11" s="335"/>
      <c r="AK11" s="336"/>
      <c r="AL11" s="336"/>
      <c r="AM11" s="336"/>
      <c r="AN11" s="337"/>
      <c r="AO11" s="338"/>
      <c r="AR11" s="394"/>
    </row>
    <row r="12" spans="1:44" s="393" customFormat="1" x14ac:dyDescent="0.25">
      <c r="A12" s="318"/>
      <c r="B12" s="332"/>
      <c r="C12" s="332"/>
      <c r="D12" s="332"/>
      <c r="E12" s="332"/>
      <c r="F12" s="332"/>
      <c r="G12" s="332"/>
      <c r="H12" s="332"/>
      <c r="I12" s="332"/>
      <c r="J12" s="332"/>
      <c r="K12" s="332"/>
      <c r="L12" s="333"/>
      <c r="M12" s="333"/>
      <c r="N12" s="333"/>
      <c r="O12" s="333"/>
      <c r="P12" s="333"/>
      <c r="Q12" s="334"/>
      <c r="R12" s="334"/>
      <c r="S12" s="334"/>
      <c r="T12" s="334"/>
      <c r="U12" s="334"/>
      <c r="V12" s="334"/>
      <c r="W12" s="334"/>
      <c r="X12" s="334"/>
      <c r="Y12" s="334"/>
      <c r="Z12" s="334"/>
      <c r="AA12" s="334"/>
      <c r="AB12" s="334"/>
      <c r="AC12" s="334"/>
      <c r="AD12" s="334"/>
      <c r="AE12" s="334"/>
      <c r="AF12" s="335"/>
      <c r="AG12" s="335"/>
      <c r="AH12" s="335"/>
      <c r="AI12" s="335"/>
      <c r="AJ12" s="335"/>
      <c r="AK12" s="336"/>
      <c r="AL12" s="336"/>
      <c r="AM12" s="336"/>
      <c r="AN12" s="337"/>
      <c r="AO12" s="338"/>
      <c r="AR12" s="394"/>
    </row>
    <row r="13" spans="1:44" x14ac:dyDescent="0.25">
      <c r="A13" s="319" t="s">
        <v>281</v>
      </c>
      <c r="B13" s="395">
        <v>580</v>
      </c>
      <c r="C13" s="395">
        <v>656</v>
      </c>
      <c r="D13" s="395">
        <v>674</v>
      </c>
      <c r="E13" s="395">
        <v>695</v>
      </c>
      <c r="F13" s="121">
        <f>SUM(B13:E13)</f>
        <v>2605</v>
      </c>
      <c r="G13" s="395">
        <v>4766</v>
      </c>
      <c r="H13" s="395">
        <v>7662</v>
      </c>
      <c r="I13" s="395">
        <v>5985</v>
      </c>
      <c r="J13" s="395">
        <v>6079</v>
      </c>
      <c r="K13" s="121">
        <f t="shared" ref="K13:K26" si="1">SUM(G13:J13)</f>
        <v>24492</v>
      </c>
      <c r="L13" s="114">
        <f>'Schedule 3A_Income Statement'!CO35</f>
        <v>15309175.579999989</v>
      </c>
      <c r="M13" s="114">
        <f>'Schedule 3A_Income Statement'!CP35</f>
        <v>15201609.09151746</v>
      </c>
      <c r="N13" s="114">
        <f>'Schedule 3A_Income Statement'!CQ35</f>
        <v>16165150.573375015</v>
      </c>
      <c r="O13" s="114">
        <f>'Schedule 3A_Income Statement'!CR35</f>
        <v>17008751.113142099</v>
      </c>
      <c r="P13" s="114">
        <f t="shared" ref="P13:P20" si="2">SUM(L13:O13)</f>
        <v>63684686.358034566</v>
      </c>
      <c r="Q13" s="122">
        <f>IF(B8=0,0,(B13/$B$8)*12000)</f>
        <v>195.13237599538397</v>
      </c>
      <c r="R13" s="122">
        <f>IF(C8=0,0,(C13/$C$8)*12000)</f>
        <v>210.89926136054069</v>
      </c>
      <c r="S13" s="122">
        <f>IF(D8=0,0,(D13/$D$8)*12000)</f>
        <v>207.01922852302613</v>
      </c>
      <c r="T13" s="122">
        <f>IF(E8=0,0,(E13/$E$8)*12000)</f>
        <v>204.26036962624667</v>
      </c>
      <c r="U13" s="122">
        <f>IF(F8=0,0,(F13/$F$8)*12000)</f>
        <v>204.45664881736664</v>
      </c>
      <c r="V13" s="123">
        <f t="shared" ref="V13:Z28" si="3">IF(B13=0,0,G13/B13)</f>
        <v>8.2172413793103445</v>
      </c>
      <c r="W13" s="123">
        <f t="shared" si="3"/>
        <v>11.679878048780488</v>
      </c>
      <c r="X13" s="123">
        <f t="shared" si="3"/>
        <v>8.879821958456974</v>
      </c>
      <c r="Y13" s="123">
        <f t="shared" si="3"/>
        <v>8.746762589928057</v>
      </c>
      <c r="Z13" s="123">
        <f t="shared" si="3"/>
        <v>9.4019193857965444</v>
      </c>
      <c r="AA13" s="122">
        <f>IF($B$8=0,0,(G13/$B$8)*12000)</f>
        <v>1603.4498344724141</v>
      </c>
      <c r="AB13" s="122">
        <f>IF($C$8=0,0,(H13/$C$8)*12000)</f>
        <v>2463.2776532689986</v>
      </c>
      <c r="AC13" s="122">
        <f>IF($D$8=0,0,(I13/$D$8)*12000)</f>
        <v>1838.2938912615896</v>
      </c>
      <c r="AD13" s="122">
        <f>IF($E$8=0,0,(J13/$E$8)*12000)</f>
        <v>1786.6169596517313</v>
      </c>
      <c r="AE13" s="122">
        <f>IF($F$8=0,0,(K13/$F$8)*12000)</f>
        <v>1922.2849300709954</v>
      </c>
      <c r="AF13" s="115">
        <f t="shared" ref="AF13:AJ13" si="4">IF(G13=0,0,L13/G13)</f>
        <v>3212.1644104070474</v>
      </c>
      <c r="AG13" s="115">
        <f t="shared" si="4"/>
        <v>1984.0262453037667</v>
      </c>
      <c r="AH13" s="115">
        <f t="shared" si="4"/>
        <v>2700.9441225355081</v>
      </c>
      <c r="AI13" s="115">
        <f t="shared" si="4"/>
        <v>2797.9521488965452</v>
      </c>
      <c r="AJ13" s="116">
        <f t="shared" si="4"/>
        <v>2600.2240061258603</v>
      </c>
      <c r="AK13" s="115">
        <f>IF(B$8=0,0,L13/B$8)</f>
        <v>429.21204101377992</v>
      </c>
      <c r="AL13" s="115">
        <f>IF(C$8=0,0,M13/C$8)</f>
        <v>407.26729279633037</v>
      </c>
      <c r="AM13" s="115">
        <f>IF(D$8=0,0,N13/D$8)</f>
        <v>413.76075675799319</v>
      </c>
      <c r="AN13" s="115">
        <f>IF(E$8=0,0,O13/E$8)</f>
        <v>416.57239679271453</v>
      </c>
      <c r="AO13" s="117">
        <f>IF(F$8=0,0,P13/F$8)</f>
        <v>416.53095181538106</v>
      </c>
    </row>
    <row r="14" spans="1:44" x14ac:dyDescent="0.25">
      <c r="A14" s="319" t="s">
        <v>282</v>
      </c>
      <c r="B14" s="395">
        <v>42</v>
      </c>
      <c r="C14" s="395">
        <v>42</v>
      </c>
      <c r="D14" s="395">
        <v>36</v>
      </c>
      <c r="E14" s="395">
        <v>53</v>
      </c>
      <c r="F14" s="121">
        <f>SUM(B14:E14)</f>
        <v>173</v>
      </c>
      <c r="G14" s="395">
        <v>433</v>
      </c>
      <c r="H14" s="395">
        <v>470</v>
      </c>
      <c r="I14" s="395">
        <v>350</v>
      </c>
      <c r="J14" s="395">
        <v>374</v>
      </c>
      <c r="K14" s="121">
        <f t="shared" si="1"/>
        <v>1627</v>
      </c>
      <c r="L14" s="114">
        <f>'Schedule 3A_Income Statement'!CO36</f>
        <v>623965.46000000008</v>
      </c>
      <c r="M14" s="114">
        <f>'Schedule 3A_Income Statement'!CP36</f>
        <v>596342.36535907013</v>
      </c>
      <c r="N14" s="114">
        <f>'Schedule 3A_Income Statement'!CQ36</f>
        <v>448287.44013588305</v>
      </c>
      <c r="O14" s="114">
        <f>'Schedule 3A_Income Statement'!CR36</f>
        <v>499165.60836819897</v>
      </c>
      <c r="P14" s="114">
        <f t="shared" si="2"/>
        <v>2167760.8738631522</v>
      </c>
      <c r="Q14" s="122">
        <f>IF(B8=0,0,(B14/$B$8)*12000)</f>
        <v>14.130275503114012</v>
      </c>
      <c r="R14" s="122">
        <f>IF(C8=0,0,(C14/$C$8)*12000)</f>
        <v>13.502696611498033</v>
      </c>
      <c r="S14" s="122">
        <f>IF(D8=0,0,(D14/$D$8)*12000)</f>
        <v>11.057406864731366</v>
      </c>
      <c r="T14" s="122">
        <f>IF(E8=0,0,(E14/$E$8)*12000)</f>
        <v>15.576690057828882</v>
      </c>
      <c r="U14" s="122">
        <f>IF(F8=0,0,(F14/$F$8)*12000)</f>
        <v>13.578119096124539</v>
      </c>
      <c r="V14" s="123">
        <f t="shared" ref="V14" si="5">IF(B14=0,0,G14/B14)</f>
        <v>10.30952380952381</v>
      </c>
      <c r="W14" s="123">
        <f t="shared" ref="W14" si="6">IF(C14=0,0,H14/C14)</f>
        <v>11.19047619047619</v>
      </c>
      <c r="X14" s="123">
        <f t="shared" ref="X14" si="7">IF(D14=0,0,I14/D14)</f>
        <v>9.7222222222222214</v>
      </c>
      <c r="Y14" s="123">
        <f t="shared" ref="Y14" si="8">IF(E14=0,0,J14/E14)</f>
        <v>7.0566037735849054</v>
      </c>
      <c r="Z14" s="123">
        <f t="shared" ref="Z14" si="9">IF(F14=0,0,K14/F14)</f>
        <v>9.404624277456648</v>
      </c>
      <c r="AA14" s="122">
        <f t="shared" ref="AA14:AA31" si="10">IF($B$8=0,0,(G14/$B$8)*12000)</f>
        <v>145.67641173448493</v>
      </c>
      <c r="AB14" s="122">
        <f t="shared" ref="AB14:AB30" si="11">IF($C$8=0,0,(H14/$C$8)*12000)</f>
        <v>151.10160493819228</v>
      </c>
      <c r="AC14" s="122">
        <f t="shared" ref="AC14:AC30" si="12">IF($D$8=0,0,(I14/$D$8)*12000)</f>
        <v>107.50256674044384</v>
      </c>
      <c r="AD14" s="122">
        <f t="shared" ref="AD14:AD30" si="13">IF($E$8=0,0,(J14/$E$8)*12000)</f>
        <v>109.91852984203777</v>
      </c>
      <c r="AE14" s="122">
        <f t="shared" ref="AE14:AE30" si="14">IF($F$8=0,0,(K14/$F$8)*12000)</f>
        <v>127.69710849361056</v>
      </c>
      <c r="AF14" s="115">
        <f t="shared" ref="AF14:AF31" si="15">IF(G14=0,0,L14/G14)</f>
        <v>1441.0287759815244</v>
      </c>
      <c r="AG14" s="115">
        <f t="shared" ref="AG14:AG31" si="16">IF(H14=0,0,M14/H14)</f>
        <v>1268.8135433171706</v>
      </c>
      <c r="AH14" s="115">
        <f t="shared" ref="AH14:AH31" si="17">IF(I14=0,0,N14/I14)</f>
        <v>1280.8212575310945</v>
      </c>
      <c r="AI14" s="115">
        <f t="shared" ref="AI14:AI31" si="18">IF(J14=0,0,O14/J14)</f>
        <v>1334.6674020540079</v>
      </c>
      <c r="AJ14" s="116">
        <f t="shared" ref="AJ14:AJ31" si="19">IF(K14=0,0,P14/K14)</f>
        <v>1332.3668554782744</v>
      </c>
      <c r="AK14" s="115">
        <f t="shared" ref="AK14:AK30" si="20">IF(B$8=0,0,L14/B$8)</f>
        <v>17.493658440927117</v>
      </c>
      <c r="AL14" s="115">
        <f t="shared" ref="AL14:AL30" si="21">IF(C$8=0,0,M14/C$8)</f>
        <v>15.97664689687825</v>
      </c>
      <c r="AM14" s="115">
        <f t="shared" ref="AM14:AM30" si="22">IF(D$8=0,0,N14/D$8)</f>
        <v>11.474297726692974</v>
      </c>
      <c r="AN14" s="115">
        <f t="shared" ref="AN14:AN30" si="23">IF(E$8=0,0,O14/E$8)</f>
        <v>12.22538988848904</v>
      </c>
      <c r="AO14" s="117">
        <f t="shared" ref="AO14:AO30" si="24">IF(F$8=0,0,P14/F$8)</f>
        <v>14.178282908108327</v>
      </c>
    </row>
    <row r="15" spans="1:44" x14ac:dyDescent="0.25">
      <c r="A15" s="319" t="s">
        <v>283</v>
      </c>
      <c r="B15" s="330"/>
      <c r="C15" s="330"/>
      <c r="D15" s="330"/>
      <c r="E15" s="330"/>
      <c r="F15" s="330"/>
      <c r="G15" s="395">
        <v>160630.79999999999</v>
      </c>
      <c r="H15" s="395">
        <v>186087</v>
      </c>
      <c r="I15" s="395">
        <v>201232.9</v>
      </c>
      <c r="J15" s="395">
        <v>215438.6</v>
      </c>
      <c r="K15" s="121">
        <f>SUM(G15:J15)</f>
        <v>763389.29999999993</v>
      </c>
      <c r="L15" s="114">
        <f>'Schedule 3A_Income Statement'!CO37</f>
        <v>11800913.060000002</v>
      </c>
      <c r="M15" s="114">
        <f>'Schedule 3A_Income Statement'!CP37</f>
        <v>13732585.858529141</v>
      </c>
      <c r="N15" s="114">
        <f>'Schedule 3A_Income Statement'!CQ37</f>
        <v>14334211.954901364</v>
      </c>
      <c r="O15" s="114">
        <f>'Schedule 3A_Income Statement'!CR37</f>
        <v>14656456.261788459</v>
      </c>
      <c r="P15" s="114">
        <f>SUM(L15:O15)</f>
        <v>54524167.135218963</v>
      </c>
      <c r="Q15" s="328"/>
      <c r="R15" s="328"/>
      <c r="S15" s="328"/>
      <c r="T15" s="328"/>
      <c r="U15" s="328"/>
      <c r="V15" s="123">
        <f>IF(B15=0,0,G15/B15)</f>
        <v>0</v>
      </c>
      <c r="W15" s="123">
        <f>IF(C15=0,0,H15/C15)</f>
        <v>0</v>
      </c>
      <c r="X15" s="123">
        <f>IF(D15=0,0,I15/D15)</f>
        <v>0</v>
      </c>
      <c r="Y15" s="123">
        <f>IF(E15=0,0,J15/E15)</f>
        <v>0</v>
      </c>
      <c r="Z15" s="123">
        <f>IF(F15=0,0,K15/F15)</f>
        <v>0</v>
      </c>
      <c r="AA15" s="122">
        <f t="shared" si="10"/>
        <v>54041.844244895387</v>
      </c>
      <c r="AB15" s="122">
        <f t="shared" si="11"/>
        <v>59825.626293900823</v>
      </c>
      <c r="AC15" s="122">
        <f t="shared" si="12"/>
        <v>61808.723607494459</v>
      </c>
      <c r="AD15" s="122">
        <f t="shared" si="13"/>
        <v>63317.364126274973</v>
      </c>
      <c r="AE15" s="122">
        <f t="shared" si="14"/>
        <v>59915.553942815866</v>
      </c>
      <c r="AF15" s="115">
        <f>IF(G15=0,0,L15/G15)</f>
        <v>73.466066657203996</v>
      </c>
      <c r="AG15" s="115">
        <f>IF(H15=0,0,M15/H15)</f>
        <v>73.796589006911503</v>
      </c>
      <c r="AH15" s="115">
        <f>IF(I15=0,0,N15/I15)</f>
        <v>71.23195041616637</v>
      </c>
      <c r="AI15" s="115">
        <f>IF(J15=0,0,O15/J15)</f>
        <v>68.030781214640541</v>
      </c>
      <c r="AJ15" s="116">
        <f>IF(K15=0,0,P15/K15)</f>
        <v>71.423803209213133</v>
      </c>
      <c r="AK15" s="115">
        <f t="shared" si="20"/>
        <v>330.85347763114333</v>
      </c>
      <c r="AL15" s="115">
        <f t="shared" si="21"/>
        <v>367.91059630767307</v>
      </c>
      <c r="AM15" s="115">
        <f t="shared" si="22"/>
        <v>366.89632794129801</v>
      </c>
      <c r="AN15" s="115">
        <f t="shared" si="23"/>
        <v>358.96081216352854</v>
      </c>
      <c r="AO15" s="117">
        <f t="shared" si="24"/>
        <v>356.61639449855619</v>
      </c>
    </row>
    <row r="16" spans="1:44" x14ac:dyDescent="0.25">
      <c r="A16" s="319" t="s">
        <v>284</v>
      </c>
      <c r="B16" s="330"/>
      <c r="C16" s="330"/>
      <c r="D16" s="330"/>
      <c r="E16" s="330"/>
      <c r="F16" s="330"/>
      <c r="G16" s="395">
        <v>8938</v>
      </c>
      <c r="H16" s="395">
        <v>9614</v>
      </c>
      <c r="I16" s="395">
        <v>9324</v>
      </c>
      <c r="J16" s="395">
        <v>9537</v>
      </c>
      <c r="K16" s="121">
        <f t="shared" ref="K16" si="25">SUM(G16:J16)</f>
        <v>37413</v>
      </c>
      <c r="L16" s="114">
        <f>'Schedule 3A_Income Statement'!CO38</f>
        <v>912725.39999999932</v>
      </c>
      <c r="M16" s="114">
        <f>'Schedule 3A_Income Statement'!CP38</f>
        <v>934589.85570145759</v>
      </c>
      <c r="N16" s="114">
        <f>'Schedule 3A_Income Statement'!CQ38</f>
        <v>1010209.3931996637</v>
      </c>
      <c r="O16" s="114">
        <f>'Schedule 3A_Income Statement'!CR38</f>
        <v>1030260.551514178</v>
      </c>
      <c r="P16" s="114">
        <f t="shared" ref="P16" si="26">SUM(L16:O16)</f>
        <v>3887785.2004152988</v>
      </c>
      <c r="Q16" s="328"/>
      <c r="R16" s="328"/>
      <c r="S16" s="328"/>
      <c r="T16" s="328"/>
      <c r="U16" s="328"/>
      <c r="V16" s="123">
        <f t="shared" ref="V16" si="27">IF(B16=0,0,G16/B16)</f>
        <v>0</v>
      </c>
      <c r="W16" s="123">
        <f t="shared" ref="W16" si="28">IF(C16=0,0,H16/C16)</f>
        <v>0</v>
      </c>
      <c r="X16" s="123">
        <f t="shared" ref="X16" si="29">IF(D16=0,0,I16/D16)</f>
        <v>0</v>
      </c>
      <c r="Y16" s="123">
        <f t="shared" ref="Y16" si="30">IF(E16=0,0,J16/E16)</f>
        <v>0</v>
      </c>
      <c r="Z16" s="123">
        <f t="shared" ref="Z16" si="31">IF(F16=0,0,K16/F16)</f>
        <v>0</v>
      </c>
      <c r="AA16" s="122">
        <f t="shared" si="10"/>
        <v>3007.0572011150725</v>
      </c>
      <c r="AB16" s="122">
        <f t="shared" si="11"/>
        <v>3090.8315529271922</v>
      </c>
      <c r="AC16" s="122">
        <f t="shared" si="12"/>
        <v>2863.8683779654239</v>
      </c>
      <c r="AD16" s="122">
        <f t="shared" si="13"/>
        <v>2802.9225109719628</v>
      </c>
      <c r="AE16" s="122">
        <f t="shared" si="14"/>
        <v>2936.4056054526441</v>
      </c>
      <c r="AF16" s="115">
        <f t="shared" ref="AF16" si="32">IF(G16=0,0,L16/G16)</f>
        <v>102.11740881628992</v>
      </c>
      <c r="AG16" s="115">
        <f t="shared" ref="AG16" si="33">IF(H16=0,0,M16/H16)</f>
        <v>97.211343426404994</v>
      </c>
      <c r="AH16" s="115">
        <f t="shared" ref="AH16" si="34">IF(I16=0,0,N16/I16)</f>
        <v>108.3450657657297</v>
      </c>
      <c r="AI16" s="115">
        <f t="shared" ref="AI16" si="35">IF(J16=0,0,O16/J16)</f>
        <v>108.02773948979532</v>
      </c>
      <c r="AJ16" s="116">
        <f t="shared" ref="AJ16" si="36">IF(K16=0,0,P16/K16)</f>
        <v>103.91535563615051</v>
      </c>
      <c r="AK16" s="115">
        <f t="shared" si="20"/>
        <v>25.589407461686367</v>
      </c>
      <c r="AL16" s="115">
        <f t="shared" si="21"/>
        <v>25.0386572970645</v>
      </c>
      <c r="AM16" s="115">
        <f t="shared" si="22"/>
        <v>25.857167312921458</v>
      </c>
      <c r="AN16" s="115">
        <f t="shared" si="23"/>
        <v>25.232781902113519</v>
      </c>
      <c r="AO16" s="117">
        <f t="shared" si="24"/>
        <v>25.428136065216446</v>
      </c>
    </row>
    <row r="17" spans="1:44" x14ac:dyDescent="0.25">
      <c r="A17" s="319" t="s">
        <v>234</v>
      </c>
      <c r="B17" s="330"/>
      <c r="C17" s="330"/>
      <c r="D17" s="330"/>
      <c r="E17" s="330"/>
      <c r="F17" s="330"/>
      <c r="G17" s="395">
        <v>131165.89999999997</v>
      </c>
      <c r="H17" s="395">
        <v>146776.1</v>
      </c>
      <c r="I17" s="395">
        <v>156208.60000000003</v>
      </c>
      <c r="J17" s="395">
        <v>159244.70000000001</v>
      </c>
      <c r="K17" s="121">
        <f>SUM(G17:J17)</f>
        <v>593395.30000000005</v>
      </c>
      <c r="L17" s="114">
        <f>'Schedule 3A_Income Statement'!CO39</f>
        <v>9003297.3999999985</v>
      </c>
      <c r="M17" s="114">
        <f>'Schedule 3A_Income Statement'!CP39</f>
        <v>9412151.9119195193</v>
      </c>
      <c r="N17" s="114">
        <f>'Schedule 3A_Income Statement'!CQ39</f>
        <v>9967150.7780058254</v>
      </c>
      <c r="O17" s="114">
        <f>'Schedule 3A_Income Statement'!CR39</f>
        <v>10390955.121350041</v>
      </c>
      <c r="P17" s="114">
        <f t="shared" ref="P17" si="37">SUM(L17:O17)</f>
        <v>38773555.211275384</v>
      </c>
      <c r="Q17" s="328"/>
      <c r="R17" s="328"/>
      <c r="S17" s="328"/>
      <c r="T17" s="328"/>
      <c r="U17" s="328"/>
      <c r="V17" s="123">
        <f t="shared" ref="V17:Z18" si="38">IF(B17=0,0,G17/B17)</f>
        <v>0</v>
      </c>
      <c r="W17" s="123">
        <f t="shared" si="38"/>
        <v>0</v>
      </c>
      <c r="X17" s="123">
        <f t="shared" si="38"/>
        <v>0</v>
      </c>
      <c r="Y17" s="123">
        <f t="shared" si="38"/>
        <v>0</v>
      </c>
      <c r="Z17" s="123">
        <f t="shared" si="38"/>
        <v>0</v>
      </c>
      <c r="AA17" s="122">
        <f t="shared" si="10"/>
        <v>44128.816752711944</v>
      </c>
      <c r="AB17" s="122">
        <f t="shared" si="11"/>
        <v>47187.455907592775</v>
      </c>
      <c r="AC17" s="122">
        <f t="shared" si="12"/>
        <v>47979.501276946568</v>
      </c>
      <c r="AD17" s="122">
        <f t="shared" si="13"/>
        <v>46801.987457583826</v>
      </c>
      <c r="AE17" s="122">
        <f t="shared" si="14"/>
        <v>46573.36447676619</v>
      </c>
      <c r="AF17" s="115">
        <f t="shared" ref="AF17:AJ18" si="39">IF(G17=0,0,L17/G17)</f>
        <v>68.640533858266522</v>
      </c>
      <c r="AG17" s="115">
        <f t="shared" si="39"/>
        <v>64.125916357768872</v>
      </c>
      <c r="AH17" s="115">
        <f t="shared" si="39"/>
        <v>63.806671194837051</v>
      </c>
      <c r="AI17" s="115">
        <f t="shared" si="39"/>
        <v>65.251497358154083</v>
      </c>
      <c r="AJ17" s="116">
        <f t="shared" si="39"/>
        <v>65.341864371482856</v>
      </c>
      <c r="AK17" s="115">
        <f t="shared" si="20"/>
        <v>252.41879503664694</v>
      </c>
      <c r="AL17" s="115">
        <f t="shared" si="21"/>
        <v>252.16157088885006</v>
      </c>
      <c r="AM17" s="115">
        <f t="shared" si="22"/>
        <v>255.11768850586617</v>
      </c>
      <c r="AN17" s="115">
        <f t="shared" si="23"/>
        <v>254.49164674540765</v>
      </c>
      <c r="AO17" s="117">
        <f t="shared" si="24"/>
        <v>253.59920541370784</v>
      </c>
    </row>
    <row r="18" spans="1:44" x14ac:dyDescent="0.25">
      <c r="A18" s="319" t="s">
        <v>206</v>
      </c>
      <c r="B18" s="676"/>
      <c r="C18" s="676"/>
      <c r="D18" s="676"/>
      <c r="E18" s="676"/>
      <c r="F18" s="676"/>
      <c r="G18" s="395">
        <v>6198</v>
      </c>
      <c r="H18" s="395">
        <v>6830</v>
      </c>
      <c r="I18" s="395">
        <v>6793</v>
      </c>
      <c r="J18" s="395">
        <v>7354</v>
      </c>
      <c r="K18" s="121">
        <f>SUM(G18:J18)</f>
        <v>27175</v>
      </c>
      <c r="L18" s="114">
        <f>'Schedule 3A_Income Statement'!CO41</f>
        <v>3959925.6300000004</v>
      </c>
      <c r="M18" s="114">
        <f>'Schedule 3A_Income Statement'!CP41</f>
        <v>4453039.5863251463</v>
      </c>
      <c r="N18" s="114">
        <f>'Schedule 3A_Income Statement'!CQ41</f>
        <v>4337667.0781724993</v>
      </c>
      <c r="O18" s="114">
        <f>'Schedule 3A_Income Statement'!CR41</f>
        <v>5073321.8541096421</v>
      </c>
      <c r="P18" s="114">
        <f>SUM(L18:O18)</f>
        <v>17823954.148607288</v>
      </c>
      <c r="Q18" s="328"/>
      <c r="R18" s="328"/>
      <c r="S18" s="328"/>
      <c r="T18" s="328"/>
      <c r="U18" s="328"/>
      <c r="V18" s="123">
        <f t="shared" si="38"/>
        <v>0</v>
      </c>
      <c r="W18" s="123">
        <f t="shared" si="38"/>
        <v>0</v>
      </c>
      <c r="X18" s="123">
        <f t="shared" si="38"/>
        <v>0</v>
      </c>
      <c r="Y18" s="123">
        <f t="shared" si="38"/>
        <v>0</v>
      </c>
      <c r="Z18" s="123">
        <f t="shared" si="38"/>
        <v>0</v>
      </c>
      <c r="AA18" s="122">
        <f t="shared" si="10"/>
        <v>2085.2249421023962</v>
      </c>
      <c r="AB18" s="122">
        <f t="shared" si="11"/>
        <v>2195.7956632507517</v>
      </c>
      <c r="AC18" s="122">
        <f t="shared" si="12"/>
        <v>2086.4712453366715</v>
      </c>
      <c r="AD18" s="122">
        <f t="shared" si="13"/>
        <v>2161.3392204768602</v>
      </c>
      <c r="AE18" s="122">
        <f t="shared" si="14"/>
        <v>2132.863505417251</v>
      </c>
      <c r="AF18" s="115">
        <f t="shared" si="39"/>
        <v>638.90378025169412</v>
      </c>
      <c r="AG18" s="115">
        <f t="shared" si="39"/>
        <v>651.9823698865514</v>
      </c>
      <c r="AH18" s="115">
        <f t="shared" si="39"/>
        <v>638.54954779515663</v>
      </c>
      <c r="AI18" s="115">
        <f t="shared" si="39"/>
        <v>689.87243052891517</v>
      </c>
      <c r="AJ18" s="116">
        <f t="shared" si="39"/>
        <v>655.89527685767382</v>
      </c>
      <c r="AK18" s="115">
        <f t="shared" si="20"/>
        <v>111.02150818202843</v>
      </c>
      <c r="AL18" s="115">
        <f t="shared" si="21"/>
        <v>119.30167169273642</v>
      </c>
      <c r="AM18" s="115">
        <f t="shared" si="22"/>
        <v>111.02627251644408</v>
      </c>
      <c r="AN18" s="115">
        <f t="shared" si="23"/>
        <v>124.25402843565354</v>
      </c>
      <c r="AO18" s="117">
        <f t="shared" si="24"/>
        <v>116.57792494877303</v>
      </c>
      <c r="AR18" s="389"/>
    </row>
    <row r="19" spans="1:44" x14ac:dyDescent="0.25">
      <c r="A19" s="319" t="s">
        <v>229</v>
      </c>
      <c r="B19" s="330"/>
      <c r="C19" s="330"/>
      <c r="D19" s="330"/>
      <c r="E19" s="330"/>
      <c r="F19" s="330"/>
      <c r="G19" s="395">
        <v>36188</v>
      </c>
      <c r="H19" s="395">
        <v>35254</v>
      </c>
      <c r="I19" s="395">
        <v>35200</v>
      </c>
      <c r="J19" s="395">
        <v>34571</v>
      </c>
      <c r="K19" s="121">
        <f t="shared" si="1"/>
        <v>141213</v>
      </c>
      <c r="L19" s="114">
        <f>'Schedule 3A_Income Statement'!CO49</f>
        <v>9883583.2999999914</v>
      </c>
      <c r="M19" s="114">
        <f>'Schedule 3A_Income Statement'!CP49</f>
        <v>9508912.6786016338</v>
      </c>
      <c r="N19" s="114">
        <f>'Schedule 3A_Income Statement'!CQ49</f>
        <v>9169037.0916254502</v>
      </c>
      <c r="O19" s="114">
        <f>'Schedule 3A_Income Statement'!CR49</f>
        <v>9271059.1423558891</v>
      </c>
      <c r="P19" s="114">
        <f t="shared" si="2"/>
        <v>37832592.212582968</v>
      </c>
      <c r="Q19" s="328"/>
      <c r="R19" s="328"/>
      <c r="S19" s="328"/>
      <c r="T19" s="328"/>
      <c r="U19" s="328"/>
      <c r="V19" s="123">
        <f t="shared" si="3"/>
        <v>0</v>
      </c>
      <c r="W19" s="123">
        <f t="shared" si="3"/>
        <v>0</v>
      </c>
      <c r="X19" s="123">
        <f t="shared" si="3"/>
        <v>0</v>
      </c>
      <c r="Y19" s="123">
        <f t="shared" si="3"/>
        <v>0</v>
      </c>
      <c r="Z19" s="123">
        <f t="shared" si="3"/>
        <v>0</v>
      </c>
      <c r="AA19" s="122">
        <f t="shared" si="10"/>
        <v>12174.914521587854</v>
      </c>
      <c r="AB19" s="122">
        <f t="shared" si="11"/>
        <v>11333.906341470278</v>
      </c>
      <c r="AC19" s="122">
        <f t="shared" si="12"/>
        <v>10811.686712181781</v>
      </c>
      <c r="AD19" s="122">
        <f t="shared" si="13"/>
        <v>10160.410414890608</v>
      </c>
      <c r="AE19" s="122">
        <f t="shared" si="14"/>
        <v>11083.277063127367</v>
      </c>
      <c r="AF19" s="115">
        <f t="shared" si="15"/>
        <v>273.117699237316</v>
      </c>
      <c r="AG19" s="115">
        <f t="shared" si="16"/>
        <v>269.72578086462909</v>
      </c>
      <c r="AH19" s="115">
        <f t="shared" si="17"/>
        <v>260.48400828481391</v>
      </c>
      <c r="AI19" s="115">
        <f t="shared" si="18"/>
        <v>268.17445669364173</v>
      </c>
      <c r="AJ19" s="116">
        <f t="shared" si="19"/>
        <v>267.91153939497758</v>
      </c>
      <c r="AK19" s="115">
        <f t="shared" si="20"/>
        <v>277.09872021225522</v>
      </c>
      <c r="AL19" s="115">
        <f t="shared" si="21"/>
        <v>254.75389484997018</v>
      </c>
      <c r="AM19" s="115">
        <f t="shared" si="22"/>
        <v>234.68929092573094</v>
      </c>
      <c r="AN19" s="115">
        <f t="shared" si="23"/>
        <v>227.06354523314235</v>
      </c>
      <c r="AO19" s="117">
        <f t="shared" si="24"/>
        <v>247.44481829362493</v>
      </c>
    </row>
    <row r="20" spans="1:44" x14ac:dyDescent="0.25">
      <c r="A20" s="319" t="s">
        <v>1457</v>
      </c>
      <c r="B20" s="330"/>
      <c r="C20" s="330"/>
      <c r="D20" s="330"/>
      <c r="E20" s="330"/>
      <c r="F20" s="330"/>
      <c r="G20" s="395">
        <v>3445715</v>
      </c>
      <c r="H20" s="395">
        <v>3544838</v>
      </c>
      <c r="I20" s="395">
        <v>3638211</v>
      </c>
      <c r="J20" s="395">
        <v>3685135</v>
      </c>
      <c r="K20" s="121">
        <f t="shared" si="1"/>
        <v>14313899</v>
      </c>
      <c r="L20" s="114">
        <f>'Schedule 3A_Income Statement'!CO50</f>
        <v>18238157.829999983</v>
      </c>
      <c r="M20" s="114">
        <f>'Schedule 3A_Income Statement'!CP50</f>
        <v>18867982.148814723</v>
      </c>
      <c r="N20" s="114">
        <f>'Schedule 3A_Income Statement'!CQ50</f>
        <v>19740601.518208794</v>
      </c>
      <c r="O20" s="114">
        <f>'Schedule 3A_Income Statement'!CR50</f>
        <v>20041911.273053475</v>
      </c>
      <c r="P20" s="114">
        <f t="shared" si="2"/>
        <v>76888652.770076975</v>
      </c>
      <c r="Q20" s="328"/>
      <c r="R20" s="328"/>
      <c r="S20" s="328"/>
      <c r="T20" s="328"/>
      <c r="U20" s="328"/>
      <c r="V20" s="123">
        <f t="shared" ref="V20" si="40">IF(B20=0,0,G20/B20)</f>
        <v>0</v>
      </c>
      <c r="W20" s="123">
        <f t="shared" ref="W20" si="41">IF(C20=0,0,H20/C20)</f>
        <v>0</v>
      </c>
      <c r="X20" s="123">
        <f t="shared" ref="X20" si="42">IF(D20=0,0,I20/D20)</f>
        <v>0</v>
      </c>
      <c r="Y20" s="123">
        <f t="shared" ref="Y20" si="43">IF(E20=0,0,J20/E20)</f>
        <v>0</v>
      </c>
      <c r="Z20" s="123">
        <f t="shared" ref="Z20" si="44">IF(F20=0,0,K20/F20)</f>
        <v>0</v>
      </c>
      <c r="AA20" s="122">
        <f t="shared" si="10"/>
        <v>1159259.5775050595</v>
      </c>
      <c r="AB20" s="122">
        <f t="shared" si="11"/>
        <v>1139639.8107359395</v>
      </c>
      <c r="AC20" s="122">
        <f t="shared" si="12"/>
        <v>1117477.2024094767</v>
      </c>
      <c r="AD20" s="122">
        <f t="shared" si="13"/>
        <v>1083060.4852124006</v>
      </c>
      <c r="AE20" s="122">
        <f t="shared" si="14"/>
        <v>1123444.0771786009</v>
      </c>
      <c r="AF20" s="115">
        <f t="shared" si="15"/>
        <v>5.2929966146358547</v>
      </c>
      <c r="AG20" s="115">
        <f t="shared" si="16"/>
        <v>5.3226641524421492</v>
      </c>
      <c r="AH20" s="115">
        <f t="shared" si="17"/>
        <v>5.4259089201282702</v>
      </c>
      <c r="AI20" s="115">
        <f t="shared" si="18"/>
        <v>5.4385826497681835</v>
      </c>
      <c r="AJ20" s="116">
        <f t="shared" si="19"/>
        <v>5.3716078875557924</v>
      </c>
      <c r="AK20" s="115">
        <f t="shared" si="20"/>
        <v>511.32975160153921</v>
      </c>
      <c r="AL20" s="115">
        <f t="shared" si="21"/>
        <v>505.4933306083451</v>
      </c>
      <c r="AM20" s="115">
        <f t="shared" si="22"/>
        <v>505.27746004946374</v>
      </c>
      <c r="AN20" s="115">
        <f t="shared" si="23"/>
        <v>490.85949696047271</v>
      </c>
      <c r="AO20" s="117">
        <f t="shared" si="24"/>
        <v>502.89175551670093</v>
      </c>
    </row>
    <row r="21" spans="1:44" x14ac:dyDescent="0.25">
      <c r="A21" s="319" t="s">
        <v>463</v>
      </c>
      <c r="B21" s="330"/>
      <c r="C21" s="330"/>
      <c r="D21" s="330"/>
      <c r="E21" s="330"/>
      <c r="F21" s="330"/>
      <c r="G21" s="395">
        <v>90709</v>
      </c>
      <c r="H21" s="395">
        <v>109517</v>
      </c>
      <c r="I21" s="395">
        <v>75460</v>
      </c>
      <c r="J21" s="395">
        <v>74601</v>
      </c>
      <c r="K21" s="121">
        <f t="shared" ref="K21:K25" si="45">SUM(G21:J21)</f>
        <v>350287</v>
      </c>
      <c r="L21" s="114">
        <f>'Schedule 3A_Income Statement'!CO51</f>
        <v>1284163.4700000014</v>
      </c>
      <c r="M21" s="114">
        <f>'Schedule 3A_Income Statement'!CP51</f>
        <v>1254227.546388672</v>
      </c>
      <c r="N21" s="114">
        <f>'Schedule 3A_Income Statement'!CQ51</f>
        <v>1302719.2613480042</v>
      </c>
      <c r="O21" s="114">
        <f>'Schedule 3A_Income Statement'!CR51</f>
        <v>1348053.0227910234</v>
      </c>
      <c r="P21" s="114">
        <f t="shared" ref="P21:P25" si="46">SUM(L21:O21)</f>
        <v>5189163.3005277012</v>
      </c>
      <c r="Q21" s="328"/>
      <c r="R21" s="328"/>
      <c r="S21" s="328"/>
      <c r="T21" s="328"/>
      <c r="U21" s="328"/>
      <c r="V21" s="123">
        <f t="shared" ref="V21:V25" si="47">IF(B21=0,0,G21/B21)</f>
        <v>0</v>
      </c>
      <c r="W21" s="123">
        <f t="shared" ref="W21:W25" si="48">IF(C21=0,0,H21/C21)</f>
        <v>0</v>
      </c>
      <c r="X21" s="123">
        <f t="shared" ref="X21:X25" si="49">IF(D21=0,0,I21/D21)</f>
        <v>0</v>
      </c>
      <c r="Y21" s="123">
        <f t="shared" ref="Y21:Y25" si="50">IF(E21=0,0,J21/E21)</f>
        <v>0</v>
      </c>
      <c r="Z21" s="123">
        <f t="shared" ref="Z21:Z25" si="51">IF(F21=0,0,K21/F21)</f>
        <v>0</v>
      </c>
      <c r="AA21" s="122">
        <f t="shared" si="10"/>
        <v>30517.694300284973</v>
      </c>
      <c r="AB21" s="122">
        <f t="shared" ref="AB21:AB25" si="52">IF($C$8=0,0,(H21/$C$8)*12000)</f>
        <v>35208.924400034055</v>
      </c>
      <c r="AC21" s="122">
        <f t="shared" ref="AC21:AC25" si="53">IF($D$8=0,0,(I21/$D$8)*12000)</f>
        <v>23177.553389239689</v>
      </c>
      <c r="AD21" s="122">
        <f t="shared" ref="AD21:AD25" si="54">IF($E$8=0,0,(J21/$E$8)*12000)</f>
        <v>21925.219905737591</v>
      </c>
      <c r="AE21" s="122">
        <f t="shared" ref="AE21:AE25" si="55">IF($F$8=0,0,(K21/$F$8)*12000)</f>
        <v>27492.7086926253</v>
      </c>
      <c r="AF21" s="115">
        <f t="shared" ref="AF21:AF25" si="56">IF(G21=0,0,L21/G21)</f>
        <v>14.156957633751903</v>
      </c>
      <c r="AG21" s="115">
        <f t="shared" ref="AG21:AG25" si="57">IF(H21=0,0,M21/H21)</f>
        <v>11.452354852567838</v>
      </c>
      <c r="AH21" s="115">
        <f t="shared" ref="AH21:AH25" si="58">IF(I21=0,0,N21/I21)</f>
        <v>17.263706087304588</v>
      </c>
      <c r="AI21" s="115">
        <f t="shared" ref="AI21:AI25" si="59">IF(J21=0,0,O21/J21)</f>
        <v>18.070173627579031</v>
      </c>
      <c r="AJ21" s="116">
        <f t="shared" ref="AJ21:AJ25" si="60">IF(K21=0,0,P21/K21)</f>
        <v>14.814033351302507</v>
      </c>
      <c r="AK21" s="115">
        <f t="shared" ref="AK21:AK25" si="61">IF(B$8=0,0,L21/B$8)</f>
        <v>36.003142107410525</v>
      </c>
      <c r="AL21" s="115">
        <f t="shared" ref="AL21:AL25" si="62">IF(C$8=0,0,M21/C$8)</f>
        <v>33.602091350535346</v>
      </c>
      <c r="AM21" s="115">
        <f t="shared" ref="AM21:AM25" si="63">IF(D$8=0,0,N21/D$8)</f>
        <v>33.344205794553694</v>
      </c>
      <c r="AN21" s="115">
        <f t="shared" ref="AN21:AN25" si="64">IF(E$8=0,0,O21/E$8)</f>
        <v>33.016044209960853</v>
      </c>
      <c r="AO21" s="117">
        <f t="shared" ref="AO21:AO25" si="65">IF(F$8=0,0,P21/F$8)</f>
        <v>33.939825290849626</v>
      </c>
    </row>
    <row r="22" spans="1:44" x14ac:dyDescent="0.25">
      <c r="A22" s="319" t="s">
        <v>1458</v>
      </c>
      <c r="B22" s="330"/>
      <c r="C22" s="330"/>
      <c r="D22" s="330"/>
      <c r="E22" s="330"/>
      <c r="F22" s="330"/>
      <c r="G22" s="395">
        <v>156215</v>
      </c>
      <c r="H22" s="395">
        <v>169168</v>
      </c>
      <c r="I22" s="395">
        <v>183941</v>
      </c>
      <c r="J22" s="395">
        <v>205946</v>
      </c>
      <c r="K22" s="121">
        <f t="shared" si="45"/>
        <v>715270</v>
      </c>
      <c r="L22" s="114">
        <f>'Schedule 3A_Income Statement'!CO52</f>
        <v>12335284.399999987</v>
      </c>
      <c r="M22" s="114">
        <f>'Schedule 3A_Income Statement'!CP52</f>
        <v>13218977.231015973</v>
      </c>
      <c r="N22" s="114">
        <f>'Schedule 3A_Income Statement'!CQ52</f>
        <v>14641198.751501724</v>
      </c>
      <c r="O22" s="114">
        <f>'Schedule 3A_Income Statement'!CR52</f>
        <v>16495970.761602666</v>
      </c>
      <c r="P22" s="114">
        <f t="shared" si="46"/>
        <v>56691431.14412035</v>
      </c>
      <c r="Q22" s="328"/>
      <c r="R22" s="328"/>
      <c r="S22" s="328"/>
      <c r="T22" s="328"/>
      <c r="U22" s="328"/>
      <c r="V22" s="123">
        <f t="shared" si="47"/>
        <v>0</v>
      </c>
      <c r="W22" s="123">
        <f t="shared" si="48"/>
        <v>0</v>
      </c>
      <c r="X22" s="123">
        <f t="shared" si="49"/>
        <v>0</v>
      </c>
      <c r="Y22" s="123">
        <f t="shared" si="50"/>
        <v>0</v>
      </c>
      <c r="Z22" s="123">
        <f t="shared" si="51"/>
        <v>0</v>
      </c>
      <c r="AA22" s="122">
        <f t="shared" si="10"/>
        <v>52556.213993308462</v>
      </c>
      <c r="AB22" s="122">
        <f t="shared" si="52"/>
        <v>54386.290008902368</v>
      </c>
      <c r="AC22" s="122">
        <f t="shared" si="53"/>
        <v>56497.513225154231</v>
      </c>
      <c r="AD22" s="122">
        <f t="shared" si="54"/>
        <v>60527.490766974093</v>
      </c>
      <c r="AE22" s="122">
        <f t="shared" si="55"/>
        <v>56138.851132283235</v>
      </c>
      <c r="AF22" s="115">
        <f t="shared" si="56"/>
        <v>78.963507985788738</v>
      </c>
      <c r="AG22" s="115">
        <f t="shared" si="57"/>
        <v>78.141121435590492</v>
      </c>
      <c r="AH22" s="115">
        <f t="shared" si="58"/>
        <v>79.597255378092569</v>
      </c>
      <c r="AI22" s="115">
        <f t="shared" si="59"/>
        <v>80.098524669586524</v>
      </c>
      <c r="AJ22" s="116">
        <f t="shared" si="60"/>
        <v>79.258784996043943</v>
      </c>
      <c r="AK22" s="115">
        <f t="shared" si="61"/>
        <v>345.83525194695289</v>
      </c>
      <c r="AL22" s="115">
        <f t="shared" si="62"/>
        <v>354.15047433474012</v>
      </c>
      <c r="AM22" s="115">
        <f t="shared" si="63"/>
        <v>374.75391570081359</v>
      </c>
      <c r="AN22" s="115">
        <f t="shared" si="64"/>
        <v>404.0135593655537</v>
      </c>
      <c r="AO22" s="117">
        <f t="shared" si="65"/>
        <v>370.79142765154626</v>
      </c>
    </row>
    <row r="23" spans="1:44" x14ac:dyDescent="0.25">
      <c r="A23" s="319" t="s">
        <v>430</v>
      </c>
      <c r="B23" s="330"/>
      <c r="C23" s="330"/>
      <c r="D23" s="330"/>
      <c r="E23" s="330"/>
      <c r="F23" s="330"/>
      <c r="G23" s="395">
        <v>296353</v>
      </c>
      <c r="H23" s="395">
        <v>299042</v>
      </c>
      <c r="I23" s="395">
        <v>330827</v>
      </c>
      <c r="J23" s="395">
        <v>348030</v>
      </c>
      <c r="K23" s="121">
        <f t="shared" si="45"/>
        <v>1274252</v>
      </c>
      <c r="L23" s="114">
        <f>'Schedule 3A_Income Statement'!CO53</f>
        <v>15690852.819999982</v>
      </c>
      <c r="M23" s="114">
        <f>'Schedule 3A_Income Statement'!CP53</f>
        <v>16487432.966348076</v>
      </c>
      <c r="N23" s="114">
        <f>'Schedule 3A_Income Statement'!CQ53</f>
        <v>18477274.002157666</v>
      </c>
      <c r="O23" s="114">
        <f>'Schedule 3A_Income Statement'!CR53</f>
        <v>19490811.09281927</v>
      </c>
      <c r="P23" s="114">
        <f t="shared" si="46"/>
        <v>70146370.881324992</v>
      </c>
      <c r="Q23" s="328"/>
      <c r="R23" s="328"/>
      <c r="S23" s="328"/>
      <c r="T23" s="328"/>
      <c r="U23" s="328"/>
      <c r="V23" s="123">
        <f t="shared" si="47"/>
        <v>0</v>
      </c>
      <c r="W23" s="123">
        <f t="shared" si="48"/>
        <v>0</v>
      </c>
      <c r="X23" s="123">
        <f t="shared" si="49"/>
        <v>0</v>
      </c>
      <c r="Y23" s="123">
        <f t="shared" si="50"/>
        <v>0</v>
      </c>
      <c r="Z23" s="123">
        <f t="shared" si="51"/>
        <v>0</v>
      </c>
      <c r="AA23" s="122">
        <f t="shared" si="10"/>
        <v>99703.560385103498</v>
      </c>
      <c r="AB23" s="122">
        <f t="shared" si="52"/>
        <v>96139.842859418917</v>
      </c>
      <c r="AC23" s="122">
        <f t="shared" si="53"/>
        <v>101613.57613440232</v>
      </c>
      <c r="AD23" s="122">
        <f t="shared" si="54"/>
        <v>102285.95171370161</v>
      </c>
      <c r="AE23" s="122">
        <f t="shared" si="55"/>
        <v>100011.24517037506</v>
      </c>
      <c r="AF23" s="115">
        <f t="shared" si="56"/>
        <v>52.946495631898387</v>
      </c>
      <c r="AG23" s="115">
        <f t="shared" si="57"/>
        <v>55.13417167604576</v>
      </c>
      <c r="AH23" s="115">
        <f t="shared" si="58"/>
        <v>55.851771476202565</v>
      </c>
      <c r="AI23" s="115">
        <f t="shared" si="59"/>
        <v>56.003249986550784</v>
      </c>
      <c r="AJ23" s="116">
        <f t="shared" si="60"/>
        <v>55.049056922276748</v>
      </c>
      <c r="AK23" s="115">
        <f t="shared" si="61"/>
        <v>439.91284370121656</v>
      </c>
      <c r="AL23" s="115">
        <f t="shared" si="62"/>
        <v>441.71588342660544</v>
      </c>
      <c r="AM23" s="115">
        <f t="shared" si="63"/>
        <v>472.94151942819576</v>
      </c>
      <c r="AN23" s="115">
        <f t="shared" si="64"/>
        <v>477.36214366122454</v>
      </c>
      <c r="AO23" s="117">
        <f t="shared" si="65"/>
        <v>458.79372735431275</v>
      </c>
    </row>
    <row r="24" spans="1:44" x14ac:dyDescent="0.25">
      <c r="A24" s="319" t="s">
        <v>453</v>
      </c>
      <c r="B24" s="330"/>
      <c r="C24" s="330"/>
      <c r="D24" s="330"/>
      <c r="E24" s="330"/>
      <c r="F24" s="330"/>
      <c r="G24" s="395">
        <v>0</v>
      </c>
      <c r="H24" s="395">
        <v>0</v>
      </c>
      <c r="I24" s="395">
        <v>0</v>
      </c>
      <c r="J24" s="395">
        <v>0</v>
      </c>
      <c r="K24" s="121">
        <f t="shared" si="45"/>
        <v>0</v>
      </c>
      <c r="L24" s="114">
        <f>'Schedule 3A_Income Statement'!CO54</f>
        <v>0</v>
      </c>
      <c r="M24" s="114">
        <f>'Schedule 3A_Income Statement'!CP54</f>
        <v>0</v>
      </c>
      <c r="N24" s="114">
        <f>'Schedule 3A_Income Statement'!CQ54</f>
        <v>0</v>
      </c>
      <c r="O24" s="114">
        <f>'Schedule 3A_Income Statement'!CR54</f>
        <v>0</v>
      </c>
      <c r="P24" s="114">
        <f t="shared" si="46"/>
        <v>0</v>
      </c>
      <c r="Q24" s="328"/>
      <c r="R24" s="328"/>
      <c r="S24" s="328"/>
      <c r="T24" s="328"/>
      <c r="U24" s="328"/>
      <c r="V24" s="123">
        <f t="shared" si="47"/>
        <v>0</v>
      </c>
      <c r="W24" s="123">
        <f t="shared" si="48"/>
        <v>0</v>
      </c>
      <c r="X24" s="123">
        <f t="shared" si="49"/>
        <v>0</v>
      </c>
      <c r="Y24" s="123">
        <f t="shared" si="50"/>
        <v>0</v>
      </c>
      <c r="Z24" s="123">
        <f t="shared" si="51"/>
        <v>0</v>
      </c>
      <c r="AA24" s="122">
        <f t="shared" si="10"/>
        <v>0</v>
      </c>
      <c r="AB24" s="122">
        <f t="shared" si="52"/>
        <v>0</v>
      </c>
      <c r="AC24" s="122">
        <f t="shared" si="53"/>
        <v>0</v>
      </c>
      <c r="AD24" s="122">
        <f t="shared" si="54"/>
        <v>0</v>
      </c>
      <c r="AE24" s="122">
        <f t="shared" si="55"/>
        <v>0</v>
      </c>
      <c r="AF24" s="115">
        <f t="shared" si="56"/>
        <v>0</v>
      </c>
      <c r="AG24" s="115">
        <f t="shared" si="57"/>
        <v>0</v>
      </c>
      <c r="AH24" s="115">
        <f t="shared" si="58"/>
        <v>0</v>
      </c>
      <c r="AI24" s="115">
        <f t="shared" si="59"/>
        <v>0</v>
      </c>
      <c r="AJ24" s="116">
        <f t="shared" si="60"/>
        <v>0</v>
      </c>
      <c r="AK24" s="115">
        <f t="shared" si="61"/>
        <v>0</v>
      </c>
      <c r="AL24" s="115">
        <f t="shared" si="62"/>
        <v>0</v>
      </c>
      <c r="AM24" s="115">
        <f t="shared" si="63"/>
        <v>0</v>
      </c>
      <c r="AN24" s="115">
        <f t="shared" si="64"/>
        <v>0</v>
      </c>
      <c r="AO24" s="117">
        <f t="shared" si="65"/>
        <v>0</v>
      </c>
    </row>
    <row r="25" spans="1:44" x14ac:dyDescent="0.25">
      <c r="A25" s="319" t="s">
        <v>1459</v>
      </c>
      <c r="B25" s="330"/>
      <c r="C25" s="330"/>
      <c r="D25" s="330"/>
      <c r="E25" s="330"/>
      <c r="F25" s="330"/>
      <c r="G25" s="395">
        <v>814539.90000000014</v>
      </c>
      <c r="H25" s="395">
        <v>862084.89999999956</v>
      </c>
      <c r="I25" s="395">
        <v>885915.6</v>
      </c>
      <c r="J25" s="395">
        <v>911675.00000000012</v>
      </c>
      <c r="K25" s="121">
        <f t="shared" si="45"/>
        <v>3474215.4</v>
      </c>
      <c r="L25" s="114">
        <f>'Schedule 3A_Income Statement'!CO55</f>
        <v>9158061.0399999879</v>
      </c>
      <c r="M25" s="114">
        <f>'Schedule 3A_Income Statement'!CP55</f>
        <v>9827047.2898328118</v>
      </c>
      <c r="N25" s="114">
        <f>'Schedule 3A_Income Statement'!CQ55</f>
        <v>10010480.488785407</v>
      </c>
      <c r="O25" s="114">
        <f>'Schedule 3A_Income Statement'!CR55</f>
        <v>10384140.716636205</v>
      </c>
      <c r="P25" s="114">
        <f t="shared" si="46"/>
        <v>39379729.535254411</v>
      </c>
      <c r="Q25" s="328"/>
      <c r="R25" s="328"/>
      <c r="S25" s="328"/>
      <c r="T25" s="328"/>
      <c r="U25" s="328"/>
      <c r="V25" s="123">
        <f t="shared" si="47"/>
        <v>0</v>
      </c>
      <c r="W25" s="123">
        <f t="shared" si="48"/>
        <v>0</v>
      </c>
      <c r="X25" s="123">
        <f t="shared" si="49"/>
        <v>0</v>
      </c>
      <c r="Y25" s="123">
        <f t="shared" si="50"/>
        <v>0</v>
      </c>
      <c r="Z25" s="123">
        <f t="shared" si="51"/>
        <v>0</v>
      </c>
      <c r="AA25" s="122">
        <f t="shared" si="10"/>
        <v>274039.83798283187</v>
      </c>
      <c r="AB25" s="122">
        <f t="shared" si="52"/>
        <v>277154.06804889563</v>
      </c>
      <c r="AC25" s="122">
        <f t="shared" si="53"/>
        <v>272109.14547257242</v>
      </c>
      <c r="AD25" s="122">
        <f t="shared" si="54"/>
        <v>267941.11148058769</v>
      </c>
      <c r="AE25" s="122">
        <f t="shared" si="55"/>
        <v>272678.09518375696</v>
      </c>
      <c r="AF25" s="115">
        <f t="shared" si="56"/>
        <v>11.243231964450098</v>
      </c>
      <c r="AG25" s="115">
        <f t="shared" si="57"/>
        <v>11.399164154055844</v>
      </c>
      <c r="AH25" s="115">
        <f t="shared" si="58"/>
        <v>11.299587103766326</v>
      </c>
      <c r="AI25" s="115">
        <f t="shared" si="59"/>
        <v>11.390178206747146</v>
      </c>
      <c r="AJ25" s="116">
        <f t="shared" si="60"/>
        <v>11.334855500109294</v>
      </c>
      <c r="AK25" s="115">
        <f t="shared" si="61"/>
        <v>256.75778882844179</v>
      </c>
      <c r="AL25" s="115">
        <f t="shared" si="62"/>
        <v>263.27705980447706</v>
      </c>
      <c r="AM25" s="115">
        <f t="shared" si="63"/>
        <v>256.22674924989622</v>
      </c>
      <c r="AN25" s="115">
        <f t="shared" si="64"/>
        <v>254.32475072314978</v>
      </c>
      <c r="AO25" s="117">
        <f t="shared" si="65"/>
        <v>257.5639005794111</v>
      </c>
    </row>
    <row r="26" spans="1:44" x14ac:dyDescent="0.25">
      <c r="A26" s="694" t="s">
        <v>1417</v>
      </c>
      <c r="B26" s="330"/>
      <c r="C26" s="330"/>
      <c r="D26" s="330"/>
      <c r="E26" s="330"/>
      <c r="F26" s="330"/>
      <c r="G26" s="395"/>
      <c r="H26" s="395"/>
      <c r="I26" s="395"/>
      <c r="J26" s="395"/>
      <c r="K26" s="121">
        <f t="shared" si="1"/>
        <v>0</v>
      </c>
      <c r="L26" s="114">
        <f>'Schedule 3A_Income Statement'!CO43</f>
        <v>9227354</v>
      </c>
      <c r="M26" s="114">
        <f>'Schedule 3A_Income Statement'!CP43</f>
        <v>10304482</v>
      </c>
      <c r="N26" s="114">
        <f>'Schedule 3A_Income Statement'!CQ43</f>
        <v>11987026</v>
      </c>
      <c r="O26" s="114">
        <f>'Schedule 3A_Income Statement'!CR43</f>
        <v>12730410</v>
      </c>
      <c r="P26" s="114">
        <f t="shared" ref="P26:P27" si="66">SUM(L26:O26)</f>
        <v>44249272</v>
      </c>
      <c r="Q26" s="328"/>
      <c r="R26" s="328"/>
      <c r="S26" s="328"/>
      <c r="T26" s="328"/>
      <c r="U26" s="328"/>
      <c r="V26" s="698">
        <f t="shared" ref="V26" si="67">IF(B26=0,0,G26/B26)</f>
        <v>0</v>
      </c>
      <c r="W26" s="698">
        <f t="shared" ref="W26" si="68">IF(C26=0,0,H26/C26)</f>
        <v>0</v>
      </c>
      <c r="X26" s="698">
        <f t="shared" ref="X26" si="69">IF(D26=0,0,I26/D26)</f>
        <v>0</v>
      </c>
      <c r="Y26" s="698">
        <f t="shared" ref="Y26" si="70">IF(E26=0,0,J26/E26)</f>
        <v>0</v>
      </c>
      <c r="Z26" s="698">
        <f t="shared" ref="Z26" si="71">IF(F26=0,0,K26/F26)</f>
        <v>0</v>
      </c>
      <c r="AA26" s="121">
        <f t="shared" si="10"/>
        <v>0</v>
      </c>
      <c r="AB26" s="121">
        <f t="shared" ref="AB26" si="72">IF($C$8=0,0,(H26/$C$8)*12000)</f>
        <v>0</v>
      </c>
      <c r="AC26" s="121">
        <f t="shared" ref="AC26" si="73">IF($D$8=0,0,(I26/$D$8)*12000)</f>
        <v>0</v>
      </c>
      <c r="AD26" s="121">
        <f t="shared" ref="AD26" si="74">IF($E$8=0,0,(J26/$E$8)*12000)</f>
        <v>0</v>
      </c>
      <c r="AE26" s="121">
        <f t="shared" ref="AE26" si="75">IF($F$8=0,0,(K26/$F$8)*12000)</f>
        <v>0</v>
      </c>
      <c r="AF26" s="695">
        <f t="shared" ref="AF26" si="76">IF(G26=0,0,L26/G26)</f>
        <v>0</v>
      </c>
      <c r="AG26" s="695">
        <f t="shared" ref="AG26" si="77">IF(H26=0,0,M26/H26)</f>
        <v>0</v>
      </c>
      <c r="AH26" s="695">
        <f t="shared" ref="AH26" si="78">IF(I26=0,0,N26/I26)</f>
        <v>0</v>
      </c>
      <c r="AI26" s="695">
        <f t="shared" ref="AI26" si="79">IF(J26=0,0,O26/J26)</f>
        <v>0</v>
      </c>
      <c r="AJ26" s="696">
        <f t="shared" ref="AJ26" si="80">IF(K26=0,0,P26/K26)</f>
        <v>0</v>
      </c>
      <c r="AK26" s="695">
        <f t="shared" ref="AK26" si="81">IF(B$8=0,0,L26/B$8)</f>
        <v>258.70050433484346</v>
      </c>
      <c r="AL26" s="695">
        <f t="shared" ref="AL26" si="82">IF(C$8=0,0,M26/C$8)</f>
        <v>276.06804401714777</v>
      </c>
      <c r="AM26" s="695">
        <f t="shared" ref="AM26" si="83">IF(D$8=0,0,N26/D$8)</f>
        <v>306.81811013915132</v>
      </c>
      <c r="AN26" s="695">
        <f t="shared" ref="AN26" si="84">IF(E$8=0,0,O26/E$8)</f>
        <v>311.78875924384494</v>
      </c>
      <c r="AO26" s="697">
        <f t="shared" ref="AO26" si="85">IF(F$8=0,0,P26/F$8)</f>
        <v>289.41323946667097</v>
      </c>
    </row>
    <row r="27" spans="1:44" x14ac:dyDescent="0.25">
      <c r="A27" s="694" t="s">
        <v>1365</v>
      </c>
      <c r="B27" s="330"/>
      <c r="C27" s="330"/>
      <c r="D27" s="330"/>
      <c r="E27" s="330"/>
      <c r="F27" s="330"/>
      <c r="G27" s="395">
        <v>144291</v>
      </c>
      <c r="H27" s="395">
        <v>152564</v>
      </c>
      <c r="I27" s="395">
        <v>158956</v>
      </c>
      <c r="J27" s="395">
        <v>164772</v>
      </c>
      <c r="K27" s="121">
        <f>SUM(G27:J27)</f>
        <v>620583</v>
      </c>
      <c r="L27" s="114">
        <f>'Schedule 3A_Income Statement'!CO45</f>
        <v>5264282.2771030003</v>
      </c>
      <c r="M27" s="114">
        <f>'Schedule 3A_Income Statement'!CP45</f>
        <v>5402558.5519405352</v>
      </c>
      <c r="N27" s="114">
        <f>'Schedule 3A_Income Statement'!CQ45</f>
        <v>5422323.0326035134</v>
      </c>
      <c r="O27" s="114">
        <f>'Schedule 3A_Income Statement'!CR45</f>
        <v>5907450.9760820325</v>
      </c>
      <c r="P27" s="114">
        <f t="shared" si="66"/>
        <v>21996614.837729082</v>
      </c>
      <c r="Q27" s="328"/>
      <c r="R27" s="328"/>
      <c r="S27" s="328"/>
      <c r="T27" s="328"/>
      <c r="U27" s="328"/>
      <c r="V27" s="123">
        <f t="shared" si="3"/>
        <v>0</v>
      </c>
      <c r="W27" s="123">
        <f t="shared" si="3"/>
        <v>0</v>
      </c>
      <c r="X27" s="123">
        <f t="shared" si="3"/>
        <v>0</v>
      </c>
      <c r="Y27" s="123">
        <f t="shared" si="3"/>
        <v>0</v>
      </c>
      <c r="Z27" s="123">
        <f t="shared" si="3"/>
        <v>0</v>
      </c>
      <c r="AA27" s="122">
        <f t="shared" si="10"/>
        <v>48544.561490948181</v>
      </c>
      <c r="AB27" s="122">
        <f t="shared" si="11"/>
        <v>49048.223948490144</v>
      </c>
      <c r="AC27" s="122">
        <f t="shared" si="12"/>
        <v>48823.365710839971</v>
      </c>
      <c r="AD27" s="122">
        <f t="shared" si="13"/>
        <v>48426.459890727929</v>
      </c>
      <c r="AE27" s="122">
        <f t="shared" si="14"/>
        <v>48707.22475740032</v>
      </c>
      <c r="AF27" s="115">
        <f t="shared" si="15"/>
        <v>36.483788157979362</v>
      </c>
      <c r="AG27" s="115">
        <f t="shared" si="16"/>
        <v>35.411752129863764</v>
      </c>
      <c r="AH27" s="115">
        <f t="shared" si="17"/>
        <v>34.112100408940293</v>
      </c>
      <c r="AI27" s="115">
        <f t="shared" si="18"/>
        <v>35.852274513157774</v>
      </c>
      <c r="AJ27" s="116">
        <f t="shared" si="19"/>
        <v>35.445081218352875</v>
      </c>
      <c r="AK27" s="115">
        <f t="shared" si="20"/>
        <v>147.59079147147972</v>
      </c>
      <c r="AL27" s="115">
        <f t="shared" si="21"/>
        <v>144.74029573949838</v>
      </c>
      <c r="AM27" s="115">
        <f t="shared" si="22"/>
        <v>138.78896278588215</v>
      </c>
      <c r="AN27" s="115">
        <f t="shared" si="23"/>
        <v>144.68322780856684</v>
      </c>
      <c r="AO27" s="117">
        <f t="shared" si="24"/>
        <v>143.86929478721851</v>
      </c>
    </row>
    <row r="28" spans="1:44" x14ac:dyDescent="0.25">
      <c r="A28" s="694" t="s">
        <v>1366</v>
      </c>
      <c r="B28" s="330"/>
      <c r="C28" s="330"/>
      <c r="D28" s="330"/>
      <c r="E28" s="330"/>
      <c r="F28" s="330"/>
      <c r="G28" s="395">
        <v>4340</v>
      </c>
      <c r="H28" s="395">
        <v>4259</v>
      </c>
      <c r="I28" s="395">
        <v>7396</v>
      </c>
      <c r="J28" s="395">
        <v>7984</v>
      </c>
      <c r="K28" s="121">
        <f t="shared" ref="K28" si="86">SUM(G28:J28)</f>
        <v>23979</v>
      </c>
      <c r="L28" s="114">
        <f>'Schedule 3A_Income Statement'!CO47</f>
        <v>397618.28944272536</v>
      </c>
      <c r="M28" s="114">
        <f>'Schedule 3A_Income Statement'!CP47</f>
        <v>394066.20805316075</v>
      </c>
      <c r="N28" s="114">
        <f>'Schedule 3A_Income Statement'!CQ47</f>
        <v>762619.2919846822</v>
      </c>
      <c r="O28" s="114">
        <f>'Schedule 3A_Income Statement'!CR47</f>
        <v>855623.53282337438</v>
      </c>
      <c r="P28" s="114">
        <f>SUM(L28:O28)</f>
        <v>2409927.3223039429</v>
      </c>
      <c r="Q28" s="328"/>
      <c r="R28" s="328"/>
      <c r="S28" s="328"/>
      <c r="T28" s="328"/>
      <c r="U28" s="328"/>
      <c r="V28" s="123">
        <f t="shared" si="3"/>
        <v>0</v>
      </c>
      <c r="W28" s="123">
        <f t="shared" si="3"/>
        <v>0</v>
      </c>
      <c r="X28" s="123">
        <f t="shared" si="3"/>
        <v>0</v>
      </c>
      <c r="Y28" s="123">
        <f t="shared" si="3"/>
        <v>0</v>
      </c>
      <c r="Z28" s="123">
        <f t="shared" si="3"/>
        <v>0</v>
      </c>
      <c r="AA28" s="122">
        <f t="shared" si="10"/>
        <v>1460.1284686551146</v>
      </c>
      <c r="AB28" s="122">
        <f t="shared" si="11"/>
        <v>1369.2377349611934</v>
      </c>
      <c r="AC28" s="122">
        <f t="shared" si="12"/>
        <v>2271.6828103209218</v>
      </c>
      <c r="AD28" s="122">
        <f t="shared" si="13"/>
        <v>2346.4961022963357</v>
      </c>
      <c r="AE28" s="122">
        <f t="shared" si="14"/>
        <v>1882.021490207921</v>
      </c>
      <c r="AF28" s="115">
        <f t="shared" ref="AF28" si="87">IF(G28=0,0,L28/G28)</f>
        <v>91.617117383116437</v>
      </c>
      <c r="AG28" s="115">
        <f t="shared" ref="AG28" si="88">IF(H28=0,0,M28/H28)</f>
        <v>92.525524313961199</v>
      </c>
      <c r="AH28" s="115">
        <f t="shared" ref="AH28" si="89">IF(I28=0,0,N28/I28)</f>
        <v>103.11239751009765</v>
      </c>
      <c r="AI28" s="115">
        <f t="shared" ref="AI28" si="90">IF(J28=0,0,O28/J28)</f>
        <v>107.16727615523226</v>
      </c>
      <c r="AJ28" s="116">
        <f t="shared" ref="AJ28" si="91">IF(K28=0,0,P28/K28)</f>
        <v>100.50157730947674</v>
      </c>
      <c r="AK28" s="115">
        <f t="shared" si="20"/>
        <v>11.147730108933807</v>
      </c>
      <c r="AL28" s="115">
        <f t="shared" si="21"/>
        <v>10.557453278145422</v>
      </c>
      <c r="AM28" s="115">
        <f t="shared" si="22"/>
        <v>19.519888412888886</v>
      </c>
      <c r="AN28" s="115">
        <f t="shared" si="23"/>
        <v>20.95563298266396</v>
      </c>
      <c r="AO28" s="117">
        <f t="shared" si="24"/>
        <v>15.762177358019001</v>
      </c>
    </row>
    <row r="29" spans="1:44" x14ac:dyDescent="0.25">
      <c r="A29" s="319" t="s">
        <v>240</v>
      </c>
      <c r="B29" s="330"/>
      <c r="C29" s="330"/>
      <c r="D29" s="330"/>
      <c r="E29" s="330"/>
      <c r="F29" s="330"/>
      <c r="G29" s="395">
        <v>1083286</v>
      </c>
      <c r="H29" s="395">
        <v>804239</v>
      </c>
      <c r="I29" s="395">
        <v>1192612</v>
      </c>
      <c r="J29" s="395">
        <v>1217475</v>
      </c>
      <c r="K29" s="121">
        <f t="shared" ref="K29:K30" si="92">SUM(G29:J29)</f>
        <v>4297612</v>
      </c>
      <c r="L29" s="114">
        <f>'Schedule 3A_Income Statement'!CO57</f>
        <v>1978697.629999998</v>
      </c>
      <c r="M29" s="114">
        <f>'Schedule 3A_Income Statement'!CP57</f>
        <v>1467535.8211992257</v>
      </c>
      <c r="N29" s="114">
        <f>'Schedule 3A_Income Statement'!CQ57</f>
        <v>1825230.5460624339</v>
      </c>
      <c r="O29" s="114">
        <f>'Schedule 3A_Income Statement'!CR57</f>
        <v>1712100.4372232624</v>
      </c>
      <c r="P29" s="114">
        <f t="shared" ref="P29:P30" si="93">SUM(L29:O29)</f>
        <v>6983564.4344849195</v>
      </c>
      <c r="Q29" s="328"/>
      <c r="R29" s="328"/>
      <c r="S29" s="328"/>
      <c r="T29" s="328"/>
      <c r="U29" s="328"/>
      <c r="V29" s="123">
        <f t="shared" ref="V29:V30" si="94">IF(B29=0,0,G29/B29)</f>
        <v>0</v>
      </c>
      <c r="W29" s="123">
        <f t="shared" ref="W29:W30" si="95">IF(C29=0,0,H29/C29)</f>
        <v>0</v>
      </c>
      <c r="X29" s="123">
        <f t="shared" ref="X29:X30" si="96">IF(D29=0,0,I29/D29)</f>
        <v>0</v>
      </c>
      <c r="Y29" s="123">
        <f t="shared" ref="Y29:Y30" si="97">IF(E29=0,0,J29/E29)</f>
        <v>0</v>
      </c>
      <c r="Z29" s="123">
        <f t="shared" ref="Z29:Z30" si="98">IF(F29=0,0,K29/F29)</f>
        <v>0</v>
      </c>
      <c r="AA29" s="122">
        <f t="shared" si="10"/>
        <v>364455.46734919917</v>
      </c>
      <c r="AB29" s="122">
        <f t="shared" si="11"/>
        <v>258557.02905082301</v>
      </c>
      <c r="AC29" s="122">
        <f t="shared" si="12"/>
        <v>366311.00321558345</v>
      </c>
      <c r="AD29" s="122">
        <f t="shared" si="13"/>
        <v>357815.67411613616</v>
      </c>
      <c r="AE29" s="122">
        <f t="shared" si="14"/>
        <v>337303.39632909815</v>
      </c>
      <c r="AF29" s="115">
        <f t="shared" ref="AF29:AF30" si="99">IF(G29=0,0,L29/G29)</f>
        <v>1.8265699270552727</v>
      </c>
      <c r="AG29" s="115">
        <f t="shared" ref="AG29:AG30" si="100">IF(H29=0,0,M29/H29)</f>
        <v>1.8247508777853669</v>
      </c>
      <c r="AH29" s="115">
        <f t="shared" ref="AH29:AH30" si="101">IF(I29=0,0,N29/I29)</f>
        <v>1.5304479127012254</v>
      </c>
      <c r="AI29" s="115">
        <f t="shared" ref="AI29:AI30" si="102">IF(J29=0,0,O29/J29)</f>
        <v>1.4062715351224973</v>
      </c>
      <c r="AJ29" s="116">
        <f t="shared" ref="AJ29:AJ30" si="103">IF(K29=0,0,P29/K29)</f>
        <v>1.6249871869505483</v>
      </c>
      <c r="AK29" s="115">
        <f t="shared" si="20"/>
        <v>55.475283034243503</v>
      </c>
      <c r="AL29" s="115">
        <f t="shared" si="21"/>
        <v>39.316847143172161</v>
      </c>
      <c r="AM29" s="115">
        <f t="shared" si="22"/>
        <v>46.718325855898463</v>
      </c>
      <c r="AN29" s="115">
        <f t="shared" si="23"/>
        <v>41.932166444182499</v>
      </c>
      <c r="AO29" s="117">
        <f t="shared" si="24"/>
        <v>45.676141429140586</v>
      </c>
    </row>
    <row r="30" spans="1:44" x14ac:dyDescent="0.25">
      <c r="A30" s="319" t="s">
        <v>285</v>
      </c>
      <c r="B30" s="330"/>
      <c r="C30" s="330"/>
      <c r="D30" s="330"/>
      <c r="E30" s="330"/>
      <c r="F30" s="330"/>
      <c r="G30" s="395">
        <v>160927.9</v>
      </c>
      <c r="H30" s="395">
        <v>144971.59999999998</v>
      </c>
      <c r="I30" s="395">
        <v>134511.4</v>
      </c>
      <c r="J30" s="395">
        <v>122415.5</v>
      </c>
      <c r="K30" s="121">
        <f t="shared" si="92"/>
        <v>562826.4</v>
      </c>
      <c r="L30" s="114">
        <f>'Schedule 3A_Income Statement'!CO56</f>
        <v>2443998.8999999985</v>
      </c>
      <c r="M30" s="114">
        <f>'Schedule 3A_Income Statement'!CP56</f>
        <v>2562907.5960652172</v>
      </c>
      <c r="N30" s="114">
        <f>'Schedule 3A_Income Statement'!CQ56</f>
        <v>2678014.9038995961</v>
      </c>
      <c r="O30" s="114">
        <f>'Schedule 3A_Income Statement'!CR56</f>
        <v>2831825.6648182101</v>
      </c>
      <c r="P30" s="114">
        <f t="shared" si="93"/>
        <v>10516747.064783022</v>
      </c>
      <c r="Q30" s="328"/>
      <c r="R30" s="328"/>
      <c r="S30" s="328"/>
      <c r="T30" s="328"/>
      <c r="U30" s="328"/>
      <c r="V30" s="123">
        <f t="shared" si="94"/>
        <v>0</v>
      </c>
      <c r="W30" s="123">
        <f t="shared" si="95"/>
        <v>0</v>
      </c>
      <c r="X30" s="123">
        <f t="shared" si="96"/>
        <v>0</v>
      </c>
      <c r="Y30" s="123">
        <f t="shared" si="97"/>
        <v>0</v>
      </c>
      <c r="Z30" s="123">
        <f t="shared" si="98"/>
        <v>0</v>
      </c>
      <c r="AA30" s="122">
        <f t="shared" si="10"/>
        <v>54141.799122323369</v>
      </c>
      <c r="AB30" s="122">
        <f t="shared" si="11"/>
        <v>46607.322192463049</v>
      </c>
      <c r="AC30" s="122">
        <f t="shared" si="12"/>
        <v>41315.20215957296</v>
      </c>
      <c r="AD30" s="122">
        <f t="shared" si="13"/>
        <v>35977.892486304743</v>
      </c>
      <c r="AE30" s="122">
        <f t="shared" si="14"/>
        <v>44174.126529728492</v>
      </c>
      <c r="AF30" s="115">
        <f t="shared" si="99"/>
        <v>15.186918489584457</v>
      </c>
      <c r="AG30" s="115">
        <f t="shared" si="100"/>
        <v>17.678687384737547</v>
      </c>
      <c r="AH30" s="115">
        <f t="shared" si="101"/>
        <v>19.909204007240994</v>
      </c>
      <c r="AI30" s="115">
        <f t="shared" si="102"/>
        <v>23.132901183413946</v>
      </c>
      <c r="AJ30" s="116">
        <f t="shared" si="103"/>
        <v>18.68559659742866</v>
      </c>
      <c r="AK30" s="115">
        <f t="shared" si="20"/>
        <v>68.520590845848361</v>
      </c>
      <c r="AL30" s="115">
        <f t="shared" si="21"/>
        <v>68.663023240024557</v>
      </c>
      <c r="AM30" s="115">
        <f t="shared" si="22"/>
        <v>68.546065699611816</v>
      </c>
      <c r="AN30" s="115">
        <f t="shared" si="23"/>
        <v>69.356085972764902</v>
      </c>
      <c r="AO30" s="117">
        <f t="shared" si="24"/>
        <v>68.784992364856478</v>
      </c>
    </row>
    <row r="31" spans="1:44" ht="13.8" thickBot="1" x14ac:dyDescent="0.3">
      <c r="A31" s="320" t="s">
        <v>1301</v>
      </c>
      <c r="B31" s="331"/>
      <c r="C31" s="331"/>
      <c r="D31" s="331"/>
      <c r="E31" s="331"/>
      <c r="F31" s="331"/>
      <c r="G31" s="396">
        <v>44089</v>
      </c>
      <c r="H31" s="396">
        <v>49282</v>
      </c>
      <c r="I31" s="396">
        <v>50171</v>
      </c>
      <c r="J31" s="396">
        <v>50972</v>
      </c>
      <c r="K31" s="321">
        <f t="shared" ref="K31" si="104">SUM(G31:J31)</f>
        <v>194514</v>
      </c>
      <c r="L31" s="322">
        <f>+'Schedule 3A_Income Statement'!CO40+'Schedule 3A_Income Statement'!CO42+'Schedule 3A_Income Statement'!CO48+'Schedule 3A_Income Statement'!CO55+SUM('Schedule 3A_Income Statement'!CO58:CO61)</f>
        <v>18610911.859999988</v>
      </c>
      <c r="M31" s="322">
        <f>+'Schedule 3A_Income Statement'!CP40+'Schedule 3A_Income Statement'!CP42+'Schedule 3A_Income Statement'!CP48+'Schedule 3A_Income Statement'!CP55+SUM('Schedule 3A_Income Statement'!CP58:CP61)</f>
        <v>20006189.208906569</v>
      </c>
      <c r="N31" s="322">
        <f>+'Schedule 3A_Income Statement'!CQ40+'Schedule 3A_Income Statement'!CQ42+'Schedule 3A_Income Statement'!CQ48+'Schedule 3A_Income Statement'!CQ55+SUM('Schedule 3A_Income Statement'!CQ58:CQ61)</f>
        <v>20699579.401240993</v>
      </c>
      <c r="O31" s="322">
        <f>+'Schedule 3A_Income Statement'!CR40+'Schedule 3A_Income Statement'!CR42+'Schedule 3A_Income Statement'!CR48+'Schedule 3A_Income Statement'!CR55+SUM('Schedule 3A_Income Statement'!CR58:CR61)</f>
        <v>21374770.63344501</v>
      </c>
      <c r="P31" s="322">
        <f t="shared" ref="P31" si="105">SUM(L31:O31)</f>
        <v>80691451.10359256</v>
      </c>
      <c r="Q31" s="329"/>
      <c r="R31" s="329"/>
      <c r="S31" s="329"/>
      <c r="T31" s="329"/>
      <c r="U31" s="329"/>
      <c r="V31" s="324">
        <f t="shared" ref="V31" si="106">IF(B31=0,0,G31/B31)</f>
        <v>0</v>
      </c>
      <c r="W31" s="324">
        <f t="shared" ref="W31" si="107">IF(C31=0,0,H31/C31)</f>
        <v>0</v>
      </c>
      <c r="X31" s="324">
        <f t="shared" ref="X31" si="108">IF(D31=0,0,I31/D31)</f>
        <v>0</v>
      </c>
      <c r="Y31" s="324">
        <f t="shared" ref="Y31" si="109">IF(E31=0,0,J31/E31)</f>
        <v>0</v>
      </c>
      <c r="Z31" s="324">
        <f t="shared" ref="Z31" si="110">IF(F31=0,0,K31/F31)</f>
        <v>0</v>
      </c>
      <c r="AA31" s="323">
        <f t="shared" si="10"/>
        <v>14833.088491828421</v>
      </c>
      <c r="AB31" s="323">
        <f>IF($C$8=0,0,(H31/$C$8)*12000)</f>
        <v>15843.807009710621</v>
      </c>
      <c r="AC31" s="323">
        <f>IF($D$8=0,0,(I31/$D$8)*12000)</f>
        <v>15410.032216956593</v>
      </c>
      <c r="AD31" s="323">
        <f>IF($E$8=0,0,(J31/$E$8)*12000)</f>
        <v>14980.661238257617</v>
      </c>
      <c r="AE31" s="323">
        <f>IF($F$8=0,0,(K31/$F$8)*12000)</f>
        <v>15266.672010772074</v>
      </c>
      <c r="AF31" s="325">
        <f t="shared" si="15"/>
        <v>422.12143301050122</v>
      </c>
      <c r="AG31" s="325">
        <f t="shared" si="16"/>
        <v>405.95327318101067</v>
      </c>
      <c r="AH31" s="325">
        <f t="shared" si="17"/>
        <v>412.5805625010662</v>
      </c>
      <c r="AI31" s="325">
        <f t="shared" si="18"/>
        <v>419.34337741201068</v>
      </c>
      <c r="AJ31" s="326">
        <f t="shared" si="19"/>
        <v>414.83621283605584</v>
      </c>
      <c r="AK31" s="325">
        <f>IF(B$8=0,0,L31/B$8)</f>
        <v>521.78038084518232</v>
      </c>
      <c r="AL31" s="325">
        <f>IF(C$8=0,0,M31/C$8)</f>
        <v>535.98710960335563</v>
      </c>
      <c r="AM31" s="325">
        <f>IF(D$8=0,0,N31/D$8)</f>
        <v>529.82331335262529</v>
      </c>
      <c r="AN31" s="325">
        <f>IF(E$8=0,0,O31/E$8)</f>
        <v>523.50342329301202</v>
      </c>
      <c r="AO31" s="327">
        <f>IF(F$8=0,0,P31/F$8)</f>
        <v>527.76403329657501</v>
      </c>
      <c r="AR31" s="389"/>
    </row>
  </sheetData>
  <sheetProtection algorithmName="SHA-512" hashValue="stwkxwI2kwsG0+L57uSjyavH+ZptfMKYAhj2VJuAYiSTj4Uu90Oai9+pdZtg1KkpevXRYguQIUJlWnaLv9NVvg==" saltValue="jXWoTQXbTbR3vxuTwNwmOA==" spinCount="100000" sheet="1" formatColumns="0"/>
  <mergeCells count="1">
    <mergeCell ref="D1:E1"/>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O45"/>
  <sheetViews>
    <sheetView topLeftCell="A2" zoomScale="70" zoomScaleNormal="70" workbookViewId="0">
      <selection activeCell="E45" sqref="E45"/>
    </sheetView>
  </sheetViews>
  <sheetFormatPr defaultColWidth="9.44140625" defaultRowHeight="13.2" x14ac:dyDescent="0.25"/>
  <cols>
    <col min="1" max="1" width="67" style="149" customWidth="1"/>
    <col min="2" max="5" width="16.5546875" style="149" customWidth="1"/>
    <col min="6" max="6" width="10.5546875" style="149" customWidth="1"/>
    <col min="7" max="16384" width="9.44140625" style="149"/>
  </cols>
  <sheetData>
    <row r="1" spans="1:15" ht="20.25" customHeight="1" x14ac:dyDescent="0.3">
      <c r="A1" s="20" t="s">
        <v>1345</v>
      </c>
      <c r="E1" s="107"/>
    </row>
    <row r="2" spans="1:15" s="199" customFormat="1" ht="20.25" customHeight="1" x14ac:dyDescent="0.25">
      <c r="A2" s="18" t="s">
        <v>26</v>
      </c>
      <c r="B2" s="445" t="str">
        <f>'Schedule 2_Balance Sheet'!C2</f>
        <v>Tufts Associated Health Plans, Inc. (TAHMO)</v>
      </c>
      <c r="C2" s="446"/>
      <c r="D2" s="446"/>
      <c r="E2" s="447"/>
      <c r="I2" s="200"/>
      <c r="M2" s="200"/>
      <c r="O2" s="200"/>
    </row>
    <row r="3" spans="1:15" s="199" customFormat="1" ht="20.25" customHeight="1" x14ac:dyDescent="0.25">
      <c r="A3" s="18" t="s">
        <v>0</v>
      </c>
      <c r="B3" s="580" t="str">
        <f>'Schedule 2_Balance Sheet'!C3</f>
        <v>01/01/2024 - 12/31/2024</v>
      </c>
      <c r="C3" s="581"/>
      <c r="D3" s="581"/>
      <c r="E3" s="582"/>
      <c r="I3" s="200"/>
      <c r="K3" s="200"/>
    </row>
    <row r="4" spans="1:15" s="199" customFormat="1" ht="20.25" customHeight="1" x14ac:dyDescent="0.25">
      <c r="A4" s="18" t="s">
        <v>27</v>
      </c>
      <c r="B4" s="449">
        <f>'Schedule 2_Balance Sheet'!C4</f>
        <v>45657</v>
      </c>
      <c r="C4" s="446"/>
      <c r="D4" s="446"/>
      <c r="E4" s="447"/>
      <c r="I4" s="200"/>
      <c r="M4" s="200"/>
      <c r="O4" s="200"/>
    </row>
    <row r="5" spans="1:15" s="199" customFormat="1" ht="20.25" customHeight="1" x14ac:dyDescent="0.25">
      <c r="A5" s="18" t="s">
        <v>28</v>
      </c>
      <c r="B5" s="445" t="str">
        <f>'Schedule 2_Balance Sheet'!C5</f>
        <v>Roshni Parikh</v>
      </c>
      <c r="C5" s="446"/>
      <c r="D5" s="446"/>
      <c r="E5" s="447"/>
      <c r="I5" s="200"/>
      <c r="M5" s="200"/>
      <c r="O5" s="200"/>
    </row>
    <row r="6" spans="1:15" s="199" customFormat="1" ht="20.25" customHeight="1" x14ac:dyDescent="0.25">
      <c r="A6" s="18" t="s">
        <v>29</v>
      </c>
      <c r="B6" s="449">
        <f>'Schedule 2_Balance Sheet'!C6</f>
        <v>45657</v>
      </c>
      <c r="C6" s="446"/>
      <c r="D6" s="446"/>
      <c r="E6" s="447"/>
      <c r="G6" s="201"/>
      <c r="I6" s="200"/>
      <c r="L6" s="201"/>
      <c r="M6" s="200"/>
      <c r="N6" s="201"/>
      <c r="O6" s="200"/>
    </row>
    <row r="7" spans="1:15" x14ac:dyDescent="0.25">
      <c r="A7" s="17" t="s">
        <v>544</v>
      </c>
    </row>
    <row r="8" spans="1:15" ht="13.8" thickBot="1" x14ac:dyDescent="0.3">
      <c r="A8" s="29"/>
    </row>
    <row r="9" spans="1:15" x14ac:dyDescent="0.25">
      <c r="A9" s="215" t="s">
        <v>64</v>
      </c>
      <c r="B9" s="903"/>
      <c r="C9" s="904"/>
      <c r="D9" s="904"/>
      <c r="E9" s="905"/>
    </row>
    <row r="10" spans="1:15" x14ac:dyDescent="0.25">
      <c r="B10" s="81" t="s">
        <v>65</v>
      </c>
      <c r="C10" s="79" t="s">
        <v>66</v>
      </c>
      <c r="D10" s="79" t="s">
        <v>67</v>
      </c>
      <c r="E10" s="82" t="s">
        <v>68</v>
      </c>
    </row>
    <row r="11" spans="1:15" x14ac:dyDescent="0.25">
      <c r="B11" s="83" t="s">
        <v>1</v>
      </c>
      <c r="C11" s="80" t="s">
        <v>1</v>
      </c>
      <c r="D11" s="80" t="s">
        <v>1</v>
      </c>
      <c r="E11" s="84" t="s">
        <v>1</v>
      </c>
    </row>
    <row r="12" spans="1:15" x14ac:dyDescent="0.25">
      <c r="A12" s="7" t="s">
        <v>70</v>
      </c>
      <c r="B12" s="209"/>
      <c r="C12" s="210"/>
      <c r="D12" s="210"/>
      <c r="E12" s="211"/>
    </row>
    <row r="13" spans="1:15" ht="15.75" customHeight="1" x14ac:dyDescent="0.25">
      <c r="A13" s="149" t="s">
        <v>71</v>
      </c>
      <c r="B13" s="61">
        <f>IF('Schedule 2_Balance Sheet'!C48=0,"",'Schedule 3A_Income Statement'!CO92/'Schedule 2_Balance Sheet'!C48)</f>
        <v>6.5641290350778439E-2</v>
      </c>
      <c r="C13" s="50">
        <f>IF('Schedule 2_Balance Sheet'!D48=0,"",'Schedule 3A_Income Statement'!CP92/'Schedule 2_Balance Sheet'!D48)</f>
        <v>-3.6359948412210998E-2</v>
      </c>
      <c r="D13" s="50">
        <f>IF('Schedule 2_Balance Sheet'!E48=0,"",'Schedule 3A_Income Statement'!CQ92/'Schedule 2_Balance Sheet'!E48)</f>
        <v>-2.1040935717816622E-2</v>
      </c>
      <c r="E13" s="60">
        <f>IF('Schedule 2_Balance Sheet'!F48=0,"",'Schedule 3A_Income Statement'!CR92/'Schedule 2_Balance Sheet'!F48)</f>
        <v>-4.1466076970321571E-2</v>
      </c>
    </row>
    <row r="14" spans="1:15" ht="15.75" customHeight="1" x14ac:dyDescent="0.25">
      <c r="A14" s="149" t="s">
        <v>72</v>
      </c>
      <c r="B14" s="61">
        <f>IF('Schedule 3A_Income Statement'!CO32=0,"",'Schedule 3A_Income Statement'!CO92/'Schedule 3A_Income Statement'!CO32)</f>
        <v>5.4501027351915282E-2</v>
      </c>
      <c r="C14" s="50">
        <f>IF('Schedule 3A_Income Statement'!CP32=0,"",'Schedule 3A_Income Statement'!CP92/'Schedule 3A_Income Statement'!CP32)</f>
        <v>-3.4074510620829938E-2</v>
      </c>
      <c r="D14" s="50">
        <f>IF('Schedule 3A_Income Statement'!CQ32=0,"",'Schedule 3A_Income Statement'!CQ92/'Schedule 3A_Income Statement'!CQ32)</f>
        <v>-1.7444552242380583E-2</v>
      </c>
      <c r="E14" s="60">
        <f>IF('Schedule 3A_Income Statement'!CR32=0,"",'Schedule 3A_Income Statement'!CR92/'Schedule 3A_Income Statement'!CR32)</f>
        <v>-1.9206695943461284E-2</v>
      </c>
    </row>
    <row r="15" spans="1:15" ht="15.75" customHeight="1" x14ac:dyDescent="0.25">
      <c r="A15" s="149" t="s">
        <v>73</v>
      </c>
      <c r="B15" s="61">
        <f>IF('Schedule 2_Balance Sheet'!C93=0,"",'Schedule 3A_Income Statement'!CO92/'Schedule 2_Balance Sheet'!C93)</f>
        <v>0.11971460536412072</v>
      </c>
      <c r="C15" s="50">
        <f>IF('Schedule 2_Balance Sheet'!D93=0,"",'Schedule 3A_Income Statement'!CP92/'Schedule 2_Balance Sheet'!D93)</f>
        <v>-7.2008185275600461E-2</v>
      </c>
      <c r="D15" s="50">
        <f>IF('Schedule 2_Balance Sheet'!E93=0,"",'Schedule 3A_Income Statement'!CQ92/'Schedule 2_Balance Sheet'!E93)</f>
        <v>-3.9542379542147836E-2</v>
      </c>
      <c r="E15" s="60">
        <f>IF('Schedule 2_Balance Sheet'!F93=0,"",'Schedule 3A_Income Statement'!CR92/'Schedule 2_Balance Sheet'!F93)</f>
        <v>-4.404818828414573E-2</v>
      </c>
    </row>
    <row r="16" spans="1:15" ht="15.75" customHeight="1" x14ac:dyDescent="0.25">
      <c r="B16" s="212"/>
      <c r="C16" s="213"/>
      <c r="D16" s="213"/>
      <c r="E16" s="214"/>
    </row>
    <row r="17" spans="1:9" ht="15.75" customHeight="1" x14ac:dyDescent="0.25">
      <c r="A17" s="7" t="s">
        <v>74</v>
      </c>
      <c r="B17" s="212"/>
      <c r="C17" s="213"/>
      <c r="D17" s="213"/>
      <c r="E17" s="214"/>
    </row>
    <row r="18" spans="1:9" ht="15.75" customHeight="1" x14ac:dyDescent="0.25">
      <c r="A18" s="149" t="s">
        <v>75</v>
      </c>
      <c r="B18" s="62">
        <f>IF('Schedule 2_Balance Sheet'!C67=0,"",'Schedule 2_Balance Sheet'!C22/'Schedule 2_Balance Sheet'!C67)</f>
        <v>2.2187310149078137</v>
      </c>
      <c r="C18" s="51">
        <f>IF('Schedule 2_Balance Sheet'!D67=0,"",'Schedule 2_Balance Sheet'!D22/'Schedule 2_Balance Sheet'!D67)</f>
        <v>2.0237757453282308</v>
      </c>
      <c r="D18" s="51">
        <f>IF('Schedule 2_Balance Sheet'!E67=0,"",'Schedule 2_Balance Sheet'!E22/'Schedule 2_Balance Sheet'!E67)</f>
        <v>2.1427493382094256</v>
      </c>
      <c r="E18" s="63">
        <f>IF('Schedule 2_Balance Sheet'!F67=0,"",'Schedule 2_Balance Sheet'!F22/'Schedule 2_Balance Sheet'!F67)</f>
        <v>17.627322646060627</v>
      </c>
    </row>
    <row r="19" spans="1:9" ht="15.75" customHeight="1" x14ac:dyDescent="0.25">
      <c r="A19" s="149" t="s">
        <v>76</v>
      </c>
      <c r="B19" s="62">
        <f>IF('Schedule 2_Balance Sheet'!C67=0,"",'Schedule 2_Balance Sheet'!C11/'Schedule 2_Balance Sheet'!C67)</f>
        <v>1.4782139504313145</v>
      </c>
      <c r="C19" s="51">
        <f>IF('Schedule 2_Balance Sheet'!D67=0,"",'Schedule 2_Balance Sheet'!D11/'Schedule 2_Balance Sheet'!D67)</f>
        <v>1.7237487001535083</v>
      </c>
      <c r="D19" s="51">
        <f>IF('Schedule 2_Balance Sheet'!E67=0,"",'Schedule 2_Balance Sheet'!E11/'Schedule 2_Balance Sheet'!E67)</f>
        <v>1.7228392074610637</v>
      </c>
      <c r="E19" s="63">
        <f>IF('Schedule 2_Balance Sheet'!F67=0,"",'Schedule 2_Balance Sheet'!F11/'Schedule 2_Balance Sheet'!F67)</f>
        <v>13.274056415048683</v>
      </c>
    </row>
    <row r="20" spans="1:9" ht="15.75" customHeight="1" x14ac:dyDescent="0.25">
      <c r="A20" s="149" t="s">
        <v>77</v>
      </c>
      <c r="B20" s="249">
        <f>IF(('Schedule 2_Balance Sheet'!C67-'Schedule 2_Balance Sheet'!C58-SUM('Schedule 2_Balance Sheet'!C62:C65))=0,"",'Schedule 2_Balance Sheet'!C11/('Schedule 2_Balance Sheet'!C67-'Schedule 2_Balance Sheet'!C58-SUM('Schedule 2_Balance Sheet'!C62:C65)))</f>
        <v>1.6051660429565089</v>
      </c>
      <c r="C20" s="51">
        <f>IF(('Schedule 2_Balance Sheet'!D67-'Schedule 2_Balance Sheet'!D58-SUM('Schedule 2_Balance Sheet'!D62:D65))=0,"",'Schedule 2_Balance Sheet'!D11/('Schedule 2_Balance Sheet'!D67-'Schedule 2_Balance Sheet'!D58-SUM('Schedule 2_Balance Sheet'!D62:D65)))</f>
        <v>1.9624515236716553</v>
      </c>
      <c r="D20" s="51">
        <f>IF(('Schedule 2_Balance Sheet'!E67-'Schedule 2_Balance Sheet'!E58-SUM('Schedule 2_Balance Sheet'!E62:E65))=0,"",'Schedule 2_Balance Sheet'!E11/('Schedule 2_Balance Sheet'!E67-'Schedule 2_Balance Sheet'!E58-SUM('Schedule 2_Balance Sheet'!E62:E65)))</f>
        <v>1.7556220905344337</v>
      </c>
      <c r="E20" s="63">
        <f>IF(('Schedule 2_Balance Sheet'!F67-'Schedule 2_Balance Sheet'!F58-SUM('Schedule 2_Balance Sheet'!F62:F65))=0,"",'Schedule 2_Balance Sheet'!F11/('Schedule 2_Balance Sheet'!F67-'Schedule 2_Balance Sheet'!F58-SUM('Schedule 2_Balance Sheet'!F62:F65)))</f>
        <v>22.172252502134729</v>
      </c>
    </row>
    <row r="21" spans="1:9" ht="15.75" customHeight="1" x14ac:dyDescent="0.25">
      <c r="A21" s="149" t="s">
        <v>78</v>
      </c>
      <c r="B21" s="62">
        <f>IF('Schedule 3A_Income Statement'!CO66=0,"",'Schedule 2_Balance Sheet'!C58/('Schedule 3A_Income Statement'!CO66/90))</f>
        <v>1.315103448337031</v>
      </c>
      <c r="C21" s="51">
        <f>IF('Schedule 3A_Income Statement'!CP66=0,"",'Schedule 2_Balance Sheet'!D58/('Schedule 3A_Income Statement'!CP66/90))</f>
        <v>4.0641043366470262</v>
      </c>
      <c r="D21" s="51">
        <f>IF('Schedule 3A_Income Statement'!CQ66=0,"",'Schedule 2_Balance Sheet'!E58/('Schedule 3A_Income Statement'!CQ66/90))</f>
        <v>0.61089573184672674</v>
      </c>
      <c r="E21" s="63">
        <f>IF('Schedule 3A_Income Statement'!CR66=0,"",'Schedule 2_Balance Sheet'!F58/('Schedule 3A_Income Statement'!CR66/90))</f>
        <v>3.5542180197511699E-3</v>
      </c>
      <c r="F21" s="23"/>
      <c r="G21" s="23"/>
      <c r="H21" s="23"/>
      <c r="I21" s="23"/>
    </row>
    <row r="22" spans="1:9" ht="15.75" customHeight="1" x14ac:dyDescent="0.25">
      <c r="A22" s="149" t="s">
        <v>79</v>
      </c>
      <c r="B22" s="52">
        <f>IF('Schedule 3A_Income Statement'!CO32=0,"",('Schedule 2_Balance Sheet'!C56+'Schedule 2_Balance Sheet'!C57)/'Schedule 3A_Income Statement'!CO32)</f>
        <v>0</v>
      </c>
      <c r="C22" s="53">
        <f>IF('Schedule 3A_Income Statement'!CP32=0,"",('Schedule 2_Balance Sheet'!D56+'Schedule 2_Balance Sheet'!D57)/'Schedule 3A_Income Statement'!CP32)</f>
        <v>0</v>
      </c>
      <c r="D22" s="53">
        <f>IF('Schedule 3A_Income Statement'!CQ32=0,"",('Schedule 2_Balance Sheet'!E56+'Schedule 2_Balance Sheet'!E57)/'Schedule 3A_Income Statement'!CQ32)</f>
        <v>0</v>
      </c>
      <c r="E22" s="54">
        <f>IF('Schedule 3A_Income Statement'!CR32=0,"",('Schedule 2_Balance Sheet'!F56+'Schedule 2_Balance Sheet'!F57)/'Schedule 3A_Income Statement'!CR32)</f>
        <v>0</v>
      </c>
    </row>
    <row r="23" spans="1:9" ht="15.75" customHeight="1" x14ac:dyDescent="0.25">
      <c r="B23" s="212"/>
      <c r="C23" s="213"/>
      <c r="D23" s="213"/>
      <c r="E23" s="214"/>
    </row>
    <row r="24" spans="1:9" ht="15.75" customHeight="1" x14ac:dyDescent="0.25">
      <c r="A24" s="7" t="s">
        <v>80</v>
      </c>
      <c r="B24" s="212"/>
      <c r="C24" s="213"/>
      <c r="D24" s="213"/>
      <c r="E24" s="214"/>
    </row>
    <row r="25" spans="1:9" ht="15.75" customHeight="1" x14ac:dyDescent="0.25">
      <c r="A25" s="149" t="s">
        <v>81</v>
      </c>
      <c r="B25" s="24">
        <v>0</v>
      </c>
      <c r="C25" s="25">
        <v>0</v>
      </c>
      <c r="D25" s="25">
        <v>0</v>
      </c>
      <c r="E25" s="26">
        <v>0</v>
      </c>
    </row>
    <row r="26" spans="1:9" ht="15.75" customHeight="1" x14ac:dyDescent="0.25">
      <c r="A26" s="149" t="s">
        <v>82</v>
      </c>
      <c r="B26" s="55" t="s">
        <v>69</v>
      </c>
      <c r="C26" s="56" t="s">
        <v>69</v>
      </c>
      <c r="D26" s="56" t="s">
        <v>69</v>
      </c>
      <c r="E26" s="57" t="s">
        <v>69</v>
      </c>
    </row>
    <row r="27" spans="1:9" ht="15.75" customHeight="1" x14ac:dyDescent="0.25">
      <c r="A27" s="149" t="s">
        <v>83</v>
      </c>
      <c r="B27" s="64">
        <f>IF('Schedule 2_Balance Sheet'!C22=0,"",SUM('Schedule 2_Balance Sheet'!C13:C15)/'Schedule 2_Balance Sheet'!C22)</f>
        <v>0.13056384406609561</v>
      </c>
      <c r="C27" s="58">
        <f>IF('Schedule 2_Balance Sheet'!D22=0,"",SUM('Schedule 2_Balance Sheet'!D13:D15)/'Schedule 2_Balance Sheet'!D22)</f>
        <v>4.4821918520564774E-2</v>
      </c>
      <c r="D27" s="58">
        <f>IF('Schedule 2_Balance Sheet'!E22=0,"",SUM('Schedule 2_Balance Sheet'!E13:E15)/'Schedule 2_Balance Sheet'!E22)</f>
        <v>4.766262600930337E-2</v>
      </c>
      <c r="E27" s="65">
        <f>IF('Schedule 2_Balance Sheet'!F22=0,"",SUM('Schedule 2_Balance Sheet'!F13:F15)/'Schedule 2_Balance Sheet'!F22)</f>
        <v>5.6553562767791908E-2</v>
      </c>
    </row>
    <row r="28" spans="1:9" ht="15.75" customHeight="1" x14ac:dyDescent="0.25">
      <c r="A28" s="149" t="s">
        <v>84</v>
      </c>
      <c r="B28" s="64">
        <f>IF('Schedule 2_Balance Sheet'!C22=0,"",SUM('Schedule 2_Balance Sheet'!C11)/'Schedule 2_Balance Sheet'!C22)</f>
        <v>0.66624297424928403</v>
      </c>
      <c r="C28" s="58">
        <f>IF('Schedule 2_Balance Sheet'!D22=0,"",SUM('Schedule 2_Balance Sheet'!D11)/'Schedule 2_Balance Sheet'!D22)</f>
        <v>0.85174886799225769</v>
      </c>
      <c r="D28" s="58">
        <f>IF('Schedule 2_Balance Sheet'!E22=0,"",SUM('Schedule 2_Balance Sheet'!E11)/'Schedule 2_Balance Sheet'!E22)</f>
        <v>0.80403208006623073</v>
      </c>
      <c r="E28" s="65">
        <f>IF('Schedule 2_Balance Sheet'!F22=0,"",SUM('Schedule 2_Balance Sheet'!F11)/'Schedule 2_Balance Sheet'!F22)</f>
        <v>0.75303871617821572</v>
      </c>
    </row>
    <row r="29" spans="1:9" ht="15.75" customHeight="1" x14ac:dyDescent="0.25">
      <c r="A29" s="149" t="s">
        <v>85</v>
      </c>
      <c r="B29" s="315">
        <f>IF('Schedule 1_Enrollment'!L15=0,"",'Schedule 2_Balance Sheet'!C93/('Schedule 1_Enrollment'!L15/3))</f>
        <v>6287.6199366472511</v>
      </c>
      <c r="C29" s="202">
        <f>IF('Schedule 1_Enrollment'!L22=0,"",'Schedule 2_Balance Sheet'!D93/('Schedule 1_Enrollment'!L22/3))</f>
        <v>6006.2592599480404</v>
      </c>
      <c r="D29" s="202">
        <f>IF('Schedule 1_Enrollment'!L29=0,"",'Schedule 2_Balance Sheet'!E93/('Schedule 1_Enrollment'!L29/3))</f>
        <v>5792.2392882248323</v>
      </c>
      <c r="E29" s="65">
        <f>IF('Schedule 1_Enrollment'!L36=0,"",'Schedule 2_Balance Sheet'!F93/('Schedule 1_Enrollment'!L36/3))</f>
        <v>5741.2269463814619</v>
      </c>
    </row>
    <row r="30" spans="1:9" ht="15.75" customHeight="1" x14ac:dyDescent="0.25">
      <c r="B30" s="212"/>
      <c r="C30" s="213"/>
      <c r="D30" s="213"/>
      <c r="E30" s="214"/>
    </row>
    <row r="31" spans="1:9" ht="15.75" customHeight="1" x14ac:dyDescent="0.25">
      <c r="A31" s="7" t="s">
        <v>86</v>
      </c>
      <c r="B31" s="212"/>
      <c r="C31" s="213"/>
      <c r="D31" s="213"/>
      <c r="E31" s="214"/>
    </row>
    <row r="32" spans="1:9" ht="15.75" customHeight="1" x14ac:dyDescent="0.25">
      <c r="A32" s="149" t="s">
        <v>87</v>
      </c>
      <c r="B32" s="249">
        <f>IF('Schedule 3A_Income Statement'!CO23=0,"",'Schedule 2_Balance Sheet'!C13/('Schedule 3A_Income Statement'!CO23/90))</f>
        <v>9.7849813420187655</v>
      </c>
      <c r="C32" s="313">
        <f>IF('Schedule 3A_Income Statement'!CP23=0,"",'Schedule 2_Balance Sheet'!D13/('Schedule 3A_Income Statement'!CP23/90))</f>
        <v>3.7917634992685674</v>
      </c>
      <c r="D32" s="313">
        <f>IF('Schedule 3A_Income Statement'!CQ23=0,"",'Schedule 2_Balance Sheet'!E13/('Schedule 3A_Income Statement'!CQ23/90))</f>
        <v>3.5662975634673972</v>
      </c>
      <c r="E32" s="314">
        <f>IF('Schedule 3A_Income Statement'!CR23=0,"",'Schedule 2_Balance Sheet'!F13/('Schedule 3A_Income Statement'!CR23/90))</f>
        <v>2.3839997352468405</v>
      </c>
    </row>
    <row r="33" spans="1:5" ht="15.75" customHeight="1" x14ac:dyDescent="0.25">
      <c r="B33" s="212"/>
      <c r="C33" s="213"/>
      <c r="D33" s="213"/>
      <c r="E33" s="214"/>
    </row>
    <row r="34" spans="1:5" ht="15.75" customHeight="1" x14ac:dyDescent="0.25">
      <c r="A34" s="7" t="s">
        <v>88</v>
      </c>
      <c r="B34" s="212"/>
      <c r="C34" s="213"/>
      <c r="D34" s="213"/>
      <c r="E34" s="214"/>
    </row>
    <row r="35" spans="1:5" ht="15.75" customHeight="1" x14ac:dyDescent="0.25">
      <c r="A35" s="149" t="s">
        <v>89</v>
      </c>
      <c r="B35" s="64">
        <f>IF('Schedule 3A_Income Statement'!CO32=0,"",'Schedule 3A_Income Statement'!CO92/'Schedule 3A_Income Statement'!CO32)</f>
        <v>5.4501027351915282E-2</v>
      </c>
      <c r="C35" s="58">
        <f>IF('Schedule 3A_Income Statement'!CP32=0,"",'Schedule 3A_Income Statement'!CP92/'Schedule 3A_Income Statement'!CP32)</f>
        <v>-3.4074510620829938E-2</v>
      </c>
      <c r="D35" s="58">
        <f>IF('Schedule 3A_Income Statement'!CQ32=0,"",'Schedule 3A_Income Statement'!CQ92/'Schedule 3A_Income Statement'!CQ32)</f>
        <v>-1.7444552242380583E-2</v>
      </c>
      <c r="E35" s="65">
        <f>IF('Schedule 3A_Income Statement'!CR32=0,"",'Schedule 3A_Income Statement'!CR92/'Schedule 3A_Income Statement'!CR32)</f>
        <v>-1.9206695943461284E-2</v>
      </c>
    </row>
    <row r="36" spans="1:5" ht="15.75" customHeight="1" x14ac:dyDescent="0.25">
      <c r="A36" s="149" t="s">
        <v>90</v>
      </c>
      <c r="B36" s="64">
        <f>IF('Schedule 3A_Income Statement'!CO32= 0,"",('Schedule 3A_Income Statement'!CO32-'Schedule 3A_Income Statement'!CO66) /'Schedule 3A_Income Statement'!CO32)</f>
        <v>0.16589269629571349</v>
      </c>
      <c r="C36" s="58">
        <f>IF('Schedule 3A_Income Statement'!CP32= 0,"",('Schedule 3A_Income Statement'!CP32-'Schedule 3A_Income Statement'!CP66) /'Schedule 3A_Income Statement'!CP32)</f>
        <v>8.9393628725326732E-2</v>
      </c>
      <c r="D36" s="58">
        <f>IF('Schedule 3A_Income Statement'!CQ32= 0,"",('Schedule 3A_Income Statement'!CQ32-'Schedule 3A_Income Statement'!CQ66) /'Schedule 3A_Income Statement'!CQ32)</f>
        <v>0.10537141127253372</v>
      </c>
      <c r="E36" s="65">
        <f>IF('Schedule 3A_Income Statement'!CR32= 0,"",('Schedule 3A_Income Statement'!CR32-'Schedule 3A_Income Statement'!CR66) /'Schedule 3A_Income Statement'!CR32)</f>
        <v>0.10313689772274086</v>
      </c>
    </row>
    <row r="37" spans="1:5" ht="15.75" customHeight="1" x14ac:dyDescent="0.25">
      <c r="A37" s="149" t="s">
        <v>2</v>
      </c>
      <c r="B37" s="66">
        <f>'Schedule 2_Balance Sheet'!C93</f>
        <v>74755807.069999993</v>
      </c>
      <c r="C37" s="59">
        <f>'Schedule 2_Balance Sheet'!D93</f>
        <v>74729632.510000035</v>
      </c>
      <c r="D37" s="59">
        <f>'Schedule 2_Balance Sheet'!E93</f>
        <v>75432012.922013372</v>
      </c>
      <c r="E37" s="67">
        <f>'Schedule 2_Balance Sheet'!F93</f>
        <v>78138558.841076285</v>
      </c>
    </row>
    <row r="38" spans="1:5" ht="15.75" customHeight="1" x14ac:dyDescent="0.25">
      <c r="A38" s="149" t="s">
        <v>1446</v>
      </c>
      <c r="B38" s="64">
        <f>IF('Schedule 3A_Income Statement'!CO32-'Schedule 3A_Income Statement'!CO28-'Schedule 3A_Income Statement'!CO25=0,"",('Schedule 3A_Income Statement'!CO66+'Schedule 3A_Income Statement'!CO73-'Schedule 3A_Income Statement'!CO64)/('Schedule 3A_Income Statement'!CO32-'Schedule 3A_Income Statement'!CO28-'Schedule 3A_Income Statement'!CO25))</f>
        <v>0.86502136454560097</v>
      </c>
      <c r="C38" s="58">
        <f>IF('Schedule 3A_Income Statement'!CP32-'Schedule 3A_Income Statement'!CP28-'Schedule 3A_Income Statement'!CP25=0,"",('Schedule 3A_Income Statement'!CP66+'Schedule 3A_Income Statement'!CP73-'Schedule 3A_Income Statement'!CP64)/('Schedule 3A_Income Statement'!CP32-'Schedule 3A_Income Statement'!CP28-'Schedule 3A_Income Statement'!CP25))</f>
        <v>0.94405326407026768</v>
      </c>
      <c r="D38" s="58">
        <f>IF('Schedule 3A_Income Statement'!CQ32-'Schedule 3A_Income Statement'!CQ28-'Schedule 3A_Income Statement'!CQ25=0,"",('Schedule 3A_Income Statement'!CQ66+'Schedule 3A_Income Statement'!CQ73-'Schedule 3A_Income Statement'!CQ64)/('Schedule 3A_Income Statement'!CQ32-'Schedule 3A_Income Statement'!CQ28-'Schedule 3A_Income Statement'!CQ25))</f>
        <v>0.92898632673848403</v>
      </c>
      <c r="E38" s="65">
        <f>IF('Schedule 3A_Income Statement'!CR32-'Schedule 3A_Income Statement'!CR28-'Schedule 3A_Income Statement'!CR25=0,"",('Schedule 3A_Income Statement'!CR66+'Schedule 3A_Income Statement'!CR73-'Schedule 3A_Income Statement'!CR64)/('Schedule 3A_Income Statement'!CR32-'Schedule 3A_Income Statement'!CR28-'Schedule 3A_Income Statement'!CR25))</f>
        <v>0.93751831274746644</v>
      </c>
    </row>
    <row r="39" spans="1:5" ht="15.75" customHeight="1" x14ac:dyDescent="0.25">
      <c r="A39" s="149" t="s">
        <v>91</v>
      </c>
      <c r="B39" s="677">
        <f>IF('Schedule 1_Enrollment'!L15=0,"",'Schedule 3A_Income Statement'!CO66/'Schedule 1_Enrollment'!L15)</f>
        <v>3839.9838779761185</v>
      </c>
      <c r="C39" s="678">
        <f>IF('Schedule 1_Enrollment'!L22=0,"",'Schedule 3A_Income Statement'!CP66/'Schedule 1_Enrollment'!L22)</f>
        <v>3852.704883471074</v>
      </c>
      <c r="D39" s="678">
        <f>IF('Schedule 1_Enrollment'!L29=0,"",'Schedule 3A_Income Statement'!CQ66/'Schedule 1_Enrollment'!L29)</f>
        <v>3915.3535689060327</v>
      </c>
      <c r="E39" s="679">
        <f>IF('Schedule 1_Enrollment'!L36=0,"",'Schedule 3A_Income Statement'!CR66/'Schedule 1_Enrollment'!L36)</f>
        <v>3936.2711411032965</v>
      </c>
    </row>
    <row r="40" spans="1:5" ht="15.75" customHeight="1" thickBot="1" x14ac:dyDescent="0.3">
      <c r="A40" s="149" t="s">
        <v>49</v>
      </c>
      <c r="B40" s="68">
        <f>IF('Schedule 3A_Income Statement'!CO32-'Schedule 3A_Income Statement'!CO28=0,"",'Schedule 3A_Income Statement'!CO88/('Schedule 3A_Income Statement'!CO32-'Schedule 3A_Income Statement'!CO28))</f>
        <v>8.2997492966423808E-2</v>
      </c>
      <c r="C40" s="69">
        <f>IF('Schedule 3A_Income Statement'!CP32-'Schedule 3A_Income Statement'!CP28=0,"",'Schedule 3A_Income Statement'!CP88/('Schedule 3A_Income Statement'!CP32-'Schedule 3A_Income Statement'!CP28))</f>
        <v>9.2847077662860197E-2</v>
      </c>
      <c r="D40" s="69">
        <f>IF('Schedule 3A_Income Statement'!CQ32-'Schedule 3A_Income Statement'!CQ28=0,"",'Schedule 3A_Income Statement'!CQ88/('Schedule 3A_Income Statement'!CQ32-'Schedule 3A_Income Statement'!CQ28))</f>
        <v>9.102652366533584E-2</v>
      </c>
      <c r="E40" s="70">
        <f>IF('Schedule 3A_Income Statement'!CR32-'Schedule 3A_Income Statement'!CR28=0,"",'Schedule 3A_Income Statement'!CR88/('Schedule 3A_Income Statement'!CR32-'Schedule 3A_Income Statement'!CR28))</f>
        <v>9.2087127223916071E-2</v>
      </c>
    </row>
    <row r="41" spans="1:5" x14ac:dyDescent="0.25">
      <c r="B41" s="27" t="s">
        <v>92</v>
      </c>
      <c r="C41" s="27" t="s">
        <v>92</v>
      </c>
      <c r="D41" s="27" t="s">
        <v>92</v>
      </c>
      <c r="E41" s="27" t="s">
        <v>92</v>
      </c>
    </row>
    <row r="42" spans="1:5" x14ac:dyDescent="0.25">
      <c r="A42" s="7" t="s">
        <v>93</v>
      </c>
    </row>
    <row r="43" spans="1:5" x14ac:dyDescent="0.25">
      <c r="A43" s="149" t="s">
        <v>94</v>
      </c>
    </row>
    <row r="44" spans="1:5" x14ac:dyDescent="0.25">
      <c r="A44" s="149" t="s">
        <v>95</v>
      </c>
    </row>
    <row r="45" spans="1:5" x14ac:dyDescent="0.25">
      <c r="A45" s="149" t="s">
        <v>96</v>
      </c>
    </row>
  </sheetData>
  <sheetProtection algorithmName="SHA-512" hashValue="jPeWcZ4myaUoOO7O9Z1VSG+IGVHZXz3N0ksHTbzFfMGEfos6YufDbfpYHInPIb1saJs6FZGq+/qaNwQwj4hpMg==" saltValue="SCexjINLVoA+bljEb4q5Mw==" spinCount="100000" sheet="1" objects="1" scenarios="1" formatColumns="0"/>
  <mergeCells count="1">
    <mergeCell ref="B9:E9"/>
  </mergeCells>
  <phoneticPr fontId="0" type="noConversion"/>
  <pageMargins left="0.7" right="0.7" top="0.75" bottom="0.75" header="0.3" footer="0.3"/>
  <pageSetup scale="68"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K64"/>
  <sheetViews>
    <sheetView topLeftCell="A21" zoomScale="90" zoomScaleNormal="90" workbookViewId="0">
      <selection activeCell="E51" sqref="E51"/>
    </sheetView>
  </sheetViews>
  <sheetFormatPr defaultColWidth="9.44140625" defaultRowHeight="13.2" x14ac:dyDescent="0.25"/>
  <cols>
    <col min="1" max="1" width="50.44140625" style="149" customWidth="1"/>
    <col min="2" max="2" width="17.44140625" style="149" customWidth="1"/>
    <col min="3" max="3" width="20.44140625" style="149" customWidth="1"/>
    <col min="4" max="5" width="17.44140625" style="149" customWidth="1"/>
    <col min="6" max="9" width="14.5546875" style="149" customWidth="1"/>
    <col min="10" max="10" width="15" style="149" customWidth="1"/>
    <col min="11" max="11" width="11.44140625" style="149" bestFit="1" customWidth="1"/>
    <col min="12" max="16384" width="9.44140625" style="149"/>
  </cols>
  <sheetData>
    <row r="1" spans="1:10" ht="20.25" customHeight="1" x14ac:dyDescent="0.3">
      <c r="A1" s="20" t="s">
        <v>1346</v>
      </c>
      <c r="B1" s="216"/>
      <c r="C1" s="216"/>
      <c r="E1" s="107"/>
      <c r="G1" s="217"/>
    </row>
    <row r="2" spans="1:10" ht="20.25" customHeight="1" x14ac:dyDescent="0.25">
      <c r="A2" s="18" t="s">
        <v>26</v>
      </c>
      <c r="B2" s="445" t="str">
        <f>'Schedule 2_Balance Sheet'!C2</f>
        <v>Tufts Associated Health Plans, Inc. (TAHMO)</v>
      </c>
      <c r="C2" s="446"/>
      <c r="D2" s="446"/>
      <c r="E2" s="446"/>
      <c r="F2" s="447"/>
      <c r="H2" s="21"/>
      <c r="I2" s="22"/>
    </row>
    <row r="3" spans="1:10" ht="20.25" customHeight="1" x14ac:dyDescent="0.25">
      <c r="A3" s="18" t="s">
        <v>0</v>
      </c>
      <c r="B3" s="580" t="str">
        <f>'Schedule 2_Balance Sheet'!C3</f>
        <v>01/01/2024 - 12/31/2024</v>
      </c>
      <c r="C3" s="581"/>
      <c r="D3" s="581"/>
      <c r="E3" s="581"/>
      <c r="F3" s="582"/>
      <c r="H3" s="21"/>
      <c r="I3" s="22"/>
    </row>
    <row r="4" spans="1:10" ht="20.25" customHeight="1" x14ac:dyDescent="0.25">
      <c r="A4" s="18" t="s">
        <v>27</v>
      </c>
      <c r="B4" s="449">
        <f>'Schedule 2_Balance Sheet'!C4</f>
        <v>45657</v>
      </c>
      <c r="C4" s="446"/>
      <c r="D4" s="446"/>
      <c r="E4" s="446"/>
      <c r="F4" s="447"/>
      <c r="H4" s="21"/>
      <c r="I4" s="22"/>
    </row>
    <row r="5" spans="1:10" ht="20.25" customHeight="1" x14ac:dyDescent="0.25">
      <c r="A5" s="18" t="s">
        <v>28</v>
      </c>
      <c r="B5" s="445" t="str">
        <f>'Schedule 2_Balance Sheet'!C5</f>
        <v>Roshni Parikh</v>
      </c>
      <c r="C5" s="446"/>
      <c r="D5" s="446"/>
      <c r="E5" s="446"/>
      <c r="F5" s="447"/>
    </row>
    <row r="6" spans="1:10" ht="20.25" customHeight="1" x14ac:dyDescent="0.25">
      <c r="A6" s="18" t="s">
        <v>29</v>
      </c>
      <c r="B6" s="449">
        <f>'Schedule 2_Balance Sheet'!C6</f>
        <v>45657</v>
      </c>
      <c r="C6" s="446"/>
      <c r="D6" s="446"/>
      <c r="E6" s="446"/>
      <c r="F6" s="447"/>
      <c r="H6" s="218"/>
    </row>
    <row r="7" spans="1:10" x14ac:dyDescent="0.25">
      <c r="A7" s="256" t="s">
        <v>544</v>
      </c>
      <c r="B7" s="216"/>
      <c r="C7" s="216"/>
      <c r="H7" s="218"/>
    </row>
    <row r="8" spans="1:10" x14ac:dyDescent="0.25">
      <c r="A8" s="7" t="s">
        <v>1318</v>
      </c>
      <c r="B8" s="216"/>
      <c r="C8" s="216"/>
      <c r="H8" s="218"/>
    </row>
    <row r="9" spans="1:10" x14ac:dyDescent="0.25">
      <c r="B9" s="909" t="s">
        <v>97</v>
      </c>
      <c r="C9" s="910"/>
      <c r="D9" s="910"/>
      <c r="E9" s="911"/>
      <c r="F9" s="910" t="s">
        <v>162</v>
      </c>
      <c r="G9" s="910"/>
      <c r="H9" s="910"/>
      <c r="I9" s="912"/>
    </row>
    <row r="10" spans="1:10" x14ac:dyDescent="0.25">
      <c r="A10" s="29"/>
      <c r="B10" s="85" t="s">
        <v>126</v>
      </c>
      <c r="C10" s="85" t="s">
        <v>127</v>
      </c>
      <c r="D10" s="85" t="s">
        <v>128</v>
      </c>
      <c r="E10" s="191" t="s">
        <v>129</v>
      </c>
      <c r="F10" s="85" t="s">
        <v>126</v>
      </c>
      <c r="G10" s="85" t="s">
        <v>127</v>
      </c>
      <c r="H10" s="85" t="s">
        <v>128</v>
      </c>
      <c r="I10" s="192" t="s">
        <v>129</v>
      </c>
      <c r="J10" s="219"/>
    </row>
    <row r="11" spans="1:10" ht="16.5" customHeight="1" x14ac:dyDescent="0.25">
      <c r="A11" s="149" t="s">
        <v>3</v>
      </c>
      <c r="B11" s="59">
        <f>'Schedule 2_Balance Sheet'!C11</f>
        <v>90833825.569999993</v>
      </c>
      <c r="C11" s="59">
        <f>'Schedule 2_Balance Sheet'!D11</f>
        <v>126055854.11000001</v>
      </c>
      <c r="D11" s="59">
        <f>'Schedule 2_Balance Sheet'!E11</f>
        <v>113979520.31</v>
      </c>
      <c r="E11" s="59">
        <f>'Schedule 2_Balance Sheet'!F11</f>
        <v>62505438.060000002</v>
      </c>
      <c r="F11" s="415"/>
      <c r="G11" s="415"/>
      <c r="H11" s="415"/>
      <c r="I11" s="415"/>
    </row>
    <row r="12" spans="1:10" ht="16.5" customHeight="1" x14ac:dyDescent="0.25">
      <c r="A12" s="148" t="s">
        <v>131</v>
      </c>
      <c r="B12" s="59">
        <f>'Schedule 2_Balance Sheet'!C48-'Schedule 2_Balance Sheet'!C29+(IF(B11&lt;500000,IF('Schedule 2_Balance Sheet'!C29&gt;(0.1*800000),(0.1*800000),'Schedule 2_Balance Sheet'!C29),IF('Schedule 2_Balance Sheet'!C29&gt;(0.2*800000),(0.2*800000),'Schedule 2_Balance Sheet'!C29)))</f>
        <v>136337386.03</v>
      </c>
      <c r="C12" s="59">
        <f>'Schedule 2_Balance Sheet'!D48-'Schedule 2_Balance Sheet'!D29+(IF(C11&lt;500000,IF('Schedule 2_Balance Sheet'!D29&gt;(0.1*800000),(0.1*800000),'Schedule 2_Balance Sheet'!D29),IF('Schedule 2_Balance Sheet'!D29&gt;(0.2*800000),(0.2*800000),'Schedule 2_Balance Sheet'!D29)))</f>
        <v>147996503.25000003</v>
      </c>
      <c r="D12" s="59">
        <f>'Schedule 2_Balance Sheet'!E48-'Schedule 2_Balance Sheet'!E29+(IF(D11&lt;500000,IF('Schedule 2_Balance Sheet'!E29&gt;(0.1*800000),(0.1*800000),'Schedule 2_Balance Sheet'!E29),IF('Schedule 2_Balance Sheet'!E29&gt;(0.2*800000),(0.2*800000),'Schedule 2_Balance Sheet'!E29)))</f>
        <v>141759916.22201335</v>
      </c>
      <c r="E12" s="59">
        <f>'Schedule 2_Balance Sheet'!F48-'Schedule 2_Balance Sheet'!F29+(IF(E11&lt;500000,IF('Schedule 2_Balance Sheet'!F29&gt;(0.1*800000),(0.1*800000),'Schedule 2_Balance Sheet'!F29),IF('Schedule 2_Balance Sheet'!F29&gt;(0.2*800000),(0.2*800000),'Schedule 2_Balance Sheet'!F29)))</f>
        <v>83004282.140000001</v>
      </c>
      <c r="F12" s="415"/>
      <c r="G12" s="415"/>
      <c r="H12" s="415"/>
      <c r="I12" s="415"/>
    </row>
    <row r="13" spans="1:10" ht="16.5" customHeight="1" x14ac:dyDescent="0.25">
      <c r="A13" s="148" t="s">
        <v>10</v>
      </c>
      <c r="B13" s="59">
        <f>'Schedule 2_Balance Sheet'!C78</f>
        <v>61581578.960000016</v>
      </c>
      <c r="C13" s="59">
        <f>'Schedule 2_Balance Sheet'!D78</f>
        <v>73266870.739999995</v>
      </c>
      <c r="D13" s="59">
        <f>'Schedule 2_Balance Sheet'!E78</f>
        <v>66327903.299999975</v>
      </c>
      <c r="E13" s="59">
        <f>'Schedule 2_Balance Sheet'!F78</f>
        <v>4865723.2989237113</v>
      </c>
      <c r="F13" s="415"/>
      <c r="G13" s="415"/>
      <c r="H13" s="415"/>
      <c r="I13" s="415"/>
    </row>
    <row r="14" spans="1:10" ht="16.5" customHeight="1" x14ac:dyDescent="0.25">
      <c r="A14" s="19" t="s">
        <v>2</v>
      </c>
      <c r="B14" s="71">
        <f>B12-B13</f>
        <v>74755807.069999993</v>
      </c>
      <c r="C14" s="71">
        <f>C12-C13</f>
        <v>74729632.510000035</v>
      </c>
      <c r="D14" s="71">
        <f>D12-D13</f>
        <v>75432012.922013372</v>
      </c>
      <c r="E14" s="71">
        <f>E12-E13</f>
        <v>78138558.841076285</v>
      </c>
      <c r="F14" s="415"/>
      <c r="G14" s="415"/>
      <c r="H14" s="415"/>
      <c r="I14" s="415"/>
    </row>
    <row r="15" spans="1:10" ht="16.5" customHeight="1" thickBot="1" x14ac:dyDescent="0.3">
      <c r="A15" s="19" t="s">
        <v>103</v>
      </c>
      <c r="B15" s="72">
        <v>800000</v>
      </c>
      <c r="C15" s="72">
        <f t="shared" ref="C15:I15" si="0">+B15</f>
        <v>800000</v>
      </c>
      <c r="D15" s="72">
        <f t="shared" si="0"/>
        <v>800000</v>
      </c>
      <c r="E15" s="72">
        <f t="shared" si="0"/>
        <v>800000</v>
      </c>
      <c r="F15" s="72">
        <f t="shared" si="0"/>
        <v>800000</v>
      </c>
      <c r="G15" s="72">
        <f t="shared" si="0"/>
        <v>800000</v>
      </c>
      <c r="H15" s="72">
        <f t="shared" si="0"/>
        <v>800000</v>
      </c>
      <c r="I15" s="72">
        <f t="shared" si="0"/>
        <v>800000</v>
      </c>
      <c r="J15" s="220"/>
    </row>
    <row r="16" spans="1:10" ht="16.5" customHeight="1" thickTop="1" x14ac:dyDescent="0.25">
      <c r="A16" s="19" t="s">
        <v>100</v>
      </c>
      <c r="B16" s="73">
        <f t="shared" ref="B16:I16" si="1">SUM(B14-B15)</f>
        <v>73955807.069999993</v>
      </c>
      <c r="C16" s="73">
        <f t="shared" si="1"/>
        <v>73929632.510000035</v>
      </c>
      <c r="D16" s="73">
        <f t="shared" si="1"/>
        <v>74632012.922013372</v>
      </c>
      <c r="E16" s="74">
        <f t="shared" si="1"/>
        <v>77338558.841076285</v>
      </c>
      <c r="F16" s="73">
        <f t="shared" si="1"/>
        <v>-800000</v>
      </c>
      <c r="G16" s="73">
        <f t="shared" si="1"/>
        <v>-800000</v>
      </c>
      <c r="H16" s="73">
        <f t="shared" si="1"/>
        <v>-800000</v>
      </c>
      <c r="I16" s="73">
        <f t="shared" si="1"/>
        <v>-800000</v>
      </c>
      <c r="J16" s="220"/>
    </row>
    <row r="17" spans="1:10" x14ac:dyDescent="0.25">
      <c r="A17" s="19"/>
      <c r="B17" s="33"/>
      <c r="C17" s="33"/>
      <c r="D17" s="33"/>
      <c r="E17" s="33"/>
      <c r="F17" s="33"/>
      <c r="G17" s="33"/>
      <c r="H17" s="33"/>
      <c r="I17" s="33"/>
      <c r="J17" s="220"/>
    </row>
    <row r="18" spans="1:10" ht="15.75" customHeight="1" x14ac:dyDescent="0.25">
      <c r="A18" s="19" t="s">
        <v>188</v>
      </c>
      <c r="B18" s="78" t="str">
        <f>IF(B16&lt;0,"N","Y")</f>
        <v>Y</v>
      </c>
      <c r="C18" s="78" t="str">
        <f t="shared" ref="C18:I18" si="2">IF(C16&lt;0,"N","Y")</f>
        <v>Y</v>
      </c>
      <c r="D18" s="78" t="str">
        <f t="shared" si="2"/>
        <v>Y</v>
      </c>
      <c r="E18" s="78" t="str">
        <f t="shared" si="2"/>
        <v>Y</v>
      </c>
      <c r="F18" s="36" t="str">
        <f t="shared" si="2"/>
        <v>N</v>
      </c>
      <c r="G18" s="36" t="str">
        <f t="shared" si="2"/>
        <v>N</v>
      </c>
      <c r="H18" s="36" t="str">
        <f t="shared" si="2"/>
        <v>N</v>
      </c>
      <c r="I18" s="36" t="str">
        <f t="shared" si="2"/>
        <v>N</v>
      </c>
      <c r="J18" s="220"/>
    </row>
    <row r="19" spans="1:10" ht="15.75" customHeight="1" x14ac:dyDescent="0.25">
      <c r="A19" s="19" t="s">
        <v>130</v>
      </c>
      <c r="B19" s="78" t="str">
        <f t="shared" ref="B19:I19" si="3">IF(B11&lt;800000,"N","Y")</f>
        <v>Y</v>
      </c>
      <c r="C19" s="78" t="str">
        <f t="shared" si="3"/>
        <v>Y</v>
      </c>
      <c r="D19" s="78" t="str">
        <f t="shared" si="3"/>
        <v>Y</v>
      </c>
      <c r="E19" s="78" t="str">
        <f t="shared" si="3"/>
        <v>Y</v>
      </c>
      <c r="F19" s="36" t="str">
        <f t="shared" si="3"/>
        <v>N</v>
      </c>
      <c r="G19" s="36" t="str">
        <f t="shared" si="3"/>
        <v>N</v>
      </c>
      <c r="H19" s="36" t="str">
        <f t="shared" si="3"/>
        <v>N</v>
      </c>
      <c r="I19" s="36" t="str">
        <f t="shared" si="3"/>
        <v>N</v>
      </c>
      <c r="J19" s="220"/>
    </row>
    <row r="20" spans="1:10" x14ac:dyDescent="0.25">
      <c r="A20" s="19"/>
      <c r="B20" s="216"/>
      <c r="C20" s="216"/>
      <c r="F20" s="221"/>
      <c r="G20" s="198"/>
      <c r="H20" s="220"/>
      <c r="I20" s="220"/>
      <c r="J20" s="220"/>
    </row>
    <row r="21" spans="1:10" ht="25.5" customHeight="1" x14ac:dyDescent="0.25">
      <c r="A21" s="913" t="s">
        <v>161</v>
      </c>
      <c r="B21" s="914"/>
      <c r="C21" s="914"/>
      <c r="D21" s="914"/>
      <c r="E21" s="914"/>
      <c r="F21" s="914"/>
      <c r="G21" s="914"/>
      <c r="H21" s="914"/>
      <c r="I21" s="915"/>
      <c r="J21" s="220"/>
    </row>
    <row r="22" spans="1:10" x14ac:dyDescent="0.25">
      <c r="B22" s="216"/>
      <c r="C22" s="216"/>
      <c r="F22" s="221"/>
      <c r="G22" s="198"/>
      <c r="H22" s="220"/>
      <c r="I22" s="220"/>
      <c r="J22" s="220"/>
    </row>
    <row r="23" spans="1:10" x14ac:dyDescent="0.25">
      <c r="A23" s="7" t="s">
        <v>1319</v>
      </c>
      <c r="B23" s="216"/>
      <c r="C23" s="216"/>
      <c r="F23" s="221"/>
      <c r="G23" s="198"/>
      <c r="H23" s="220"/>
      <c r="I23" s="220"/>
      <c r="J23" s="220"/>
    </row>
    <row r="24" spans="1:10" x14ac:dyDescent="0.25">
      <c r="B24" s="909" t="s">
        <v>101</v>
      </c>
      <c r="C24" s="910"/>
      <c r="D24" s="910"/>
      <c r="E24" s="911"/>
      <c r="F24" s="910" t="s">
        <v>190</v>
      </c>
      <c r="G24" s="910"/>
      <c r="H24" s="910"/>
      <c r="I24" s="912"/>
      <c r="J24" s="220"/>
    </row>
    <row r="25" spans="1:10" x14ac:dyDescent="0.25">
      <c r="B25" s="85" t="str">
        <f t="shared" ref="B25:I25" si="4">B10</f>
        <v>Q1</v>
      </c>
      <c r="C25" s="85" t="str">
        <f t="shared" si="4"/>
        <v>Q2</v>
      </c>
      <c r="D25" s="85" t="str">
        <f t="shared" si="4"/>
        <v>Q3</v>
      </c>
      <c r="E25" s="86" t="str">
        <f t="shared" si="4"/>
        <v>Q4</v>
      </c>
      <c r="F25" s="87" t="str">
        <f t="shared" si="4"/>
        <v>Q1</v>
      </c>
      <c r="G25" s="85" t="str">
        <f t="shared" si="4"/>
        <v>Q2</v>
      </c>
      <c r="H25" s="85" t="str">
        <f t="shared" si="4"/>
        <v>Q3</v>
      </c>
      <c r="I25" s="85" t="str">
        <f t="shared" si="4"/>
        <v>Q4</v>
      </c>
      <c r="J25" s="220"/>
    </row>
    <row r="26" spans="1:10" ht="16.5" customHeight="1" x14ac:dyDescent="0.25">
      <c r="A26" s="149" t="s">
        <v>30</v>
      </c>
      <c r="B26" s="202">
        <f>'Schedule 2_Balance Sheet'!C22</f>
        <v>136337386.03</v>
      </c>
      <c r="C26" s="202">
        <f>'Schedule 2_Balance Sheet'!D22</f>
        <v>147996503.25000003</v>
      </c>
      <c r="D26" s="202">
        <f>'Schedule 2_Balance Sheet'!E22</f>
        <v>141759916.22201335</v>
      </c>
      <c r="E26" s="202">
        <f>'Schedule 2_Balance Sheet'!F22</f>
        <v>83004282.140000001</v>
      </c>
      <c r="F26" s="415"/>
      <c r="G26" s="415"/>
      <c r="H26" s="415"/>
      <c r="I26" s="415"/>
    </row>
    <row r="27" spans="1:10" ht="16.5" customHeight="1" x14ac:dyDescent="0.25">
      <c r="A27" s="149" t="s">
        <v>8</v>
      </c>
      <c r="B27" s="202">
        <f>'Schedule 2_Balance Sheet'!C67</f>
        <v>61448361.750000007</v>
      </c>
      <c r="C27" s="202">
        <f>'Schedule 2_Balance Sheet'!D67</f>
        <v>73128904.519999996</v>
      </c>
      <c r="D27" s="202">
        <f>'Schedule 2_Balance Sheet'!E67</f>
        <v>66157955.899999999</v>
      </c>
      <c r="E27" s="202">
        <f>'Schedule 2_Balance Sheet'!F67</f>
        <v>4708842.2789237304</v>
      </c>
      <c r="F27" s="415"/>
      <c r="G27" s="415"/>
      <c r="H27" s="415"/>
      <c r="I27" s="415"/>
    </row>
    <row r="28" spans="1:10" ht="16.5" customHeight="1" x14ac:dyDescent="0.25">
      <c r="A28" s="149" t="s">
        <v>75</v>
      </c>
      <c r="B28" s="51">
        <f>IF(B27=0,0,B26/B27)</f>
        <v>2.2187310149078137</v>
      </c>
      <c r="C28" s="51">
        <f>IF(C27=0,0,C26/C27)</f>
        <v>2.0237757453282308</v>
      </c>
      <c r="D28" s="51">
        <f>IF(D27=0,0,D26/D27)</f>
        <v>2.1427493382094256</v>
      </c>
      <c r="E28" s="51">
        <f>IF(E27=0,0,E26/E27)</f>
        <v>17.627322646060627</v>
      </c>
      <c r="F28" s="712"/>
      <c r="G28" s="712"/>
      <c r="H28" s="712"/>
      <c r="I28" s="712"/>
    </row>
    <row r="29" spans="1:10" ht="16.5" customHeight="1" x14ac:dyDescent="0.25">
      <c r="A29" s="149" t="s">
        <v>102</v>
      </c>
      <c r="B29" s="51">
        <f>IF('Schedule 2_Balance Sheet'!C67=0,0,'Schedule 2_Balance Sheet'!C11/'Schedule 2_Balance Sheet'!C67)</f>
        <v>1.4782139504313145</v>
      </c>
      <c r="C29" s="51">
        <f>IF('Schedule 2_Balance Sheet'!D67=0,0,'Schedule 2_Balance Sheet'!D11/'Schedule 2_Balance Sheet'!D67)</f>
        <v>1.7237487001535083</v>
      </c>
      <c r="D29" s="51">
        <f>IF('Schedule 2_Balance Sheet'!E67=0,0,'Schedule 2_Balance Sheet'!E11/'Schedule 2_Balance Sheet'!E67)</f>
        <v>1.7228392074610637</v>
      </c>
      <c r="E29" s="51">
        <f>IF('Schedule 2_Balance Sheet'!F67=0,0,'Schedule 2_Balance Sheet'!F11/'Schedule 2_Balance Sheet'!F67)</f>
        <v>13.274056415048683</v>
      </c>
      <c r="F29" s="712"/>
      <c r="G29" s="712"/>
      <c r="H29" s="712"/>
      <c r="I29" s="712"/>
    </row>
    <row r="30" spans="1:10" ht="16.5" customHeight="1" x14ac:dyDescent="0.25">
      <c r="A30" s="17" t="s">
        <v>4</v>
      </c>
      <c r="B30" s="75">
        <f>B26-B27</f>
        <v>74889024.280000001</v>
      </c>
      <c r="C30" s="75">
        <f>C26-C27</f>
        <v>74867598.730000034</v>
      </c>
      <c r="D30" s="75">
        <f>D26-D27</f>
        <v>75601960.322013348</v>
      </c>
      <c r="E30" s="76">
        <f>E26-E27</f>
        <v>78295439.861076266</v>
      </c>
      <c r="F30" s="712"/>
      <c r="G30" s="712"/>
      <c r="H30" s="712"/>
      <c r="I30" s="712"/>
    </row>
    <row r="31" spans="1:10" ht="16.5" customHeight="1" thickBot="1" x14ac:dyDescent="0.3">
      <c r="A31" s="17" t="s">
        <v>103</v>
      </c>
      <c r="B31" s="226" t="s">
        <v>104</v>
      </c>
      <c r="C31" s="226" t="s">
        <v>104</v>
      </c>
      <c r="D31" s="226" t="s">
        <v>104</v>
      </c>
      <c r="E31" s="227" t="s">
        <v>104</v>
      </c>
      <c r="F31" s="228" t="s">
        <v>104</v>
      </c>
      <c r="G31" s="228" t="s">
        <v>104</v>
      </c>
      <c r="H31" s="229" t="s">
        <v>104</v>
      </c>
      <c r="I31" s="230" t="s">
        <v>104</v>
      </c>
      <c r="J31" s="219"/>
    </row>
    <row r="32" spans="1:10" ht="16.5" customHeight="1" thickTop="1" x14ac:dyDescent="0.25">
      <c r="A32" s="17" t="s">
        <v>100</v>
      </c>
      <c r="B32" s="73">
        <f t="shared" ref="B32:I32" si="5">B30</f>
        <v>74889024.280000001</v>
      </c>
      <c r="C32" s="73">
        <f t="shared" si="5"/>
        <v>74867598.730000034</v>
      </c>
      <c r="D32" s="73">
        <f t="shared" si="5"/>
        <v>75601960.322013348</v>
      </c>
      <c r="E32" s="77">
        <f t="shared" si="5"/>
        <v>78295439.861076266</v>
      </c>
      <c r="F32" s="73">
        <f t="shared" si="5"/>
        <v>0</v>
      </c>
      <c r="G32" s="73">
        <f t="shared" si="5"/>
        <v>0</v>
      </c>
      <c r="H32" s="73">
        <f t="shared" si="5"/>
        <v>0</v>
      </c>
      <c r="I32" s="77">
        <f t="shared" si="5"/>
        <v>0</v>
      </c>
      <c r="J32" s="219"/>
    </row>
    <row r="33" spans="1:11" x14ac:dyDescent="0.25">
      <c r="A33" s="17"/>
      <c r="B33" s="34"/>
      <c r="C33" s="34"/>
      <c r="D33" s="34"/>
      <c r="E33" s="35"/>
      <c r="F33" s="35"/>
      <c r="G33" s="35"/>
      <c r="H33" s="35"/>
      <c r="I33" s="35"/>
    </row>
    <row r="34" spans="1:11" ht="15.75" customHeight="1" x14ac:dyDescent="0.25">
      <c r="A34" s="17" t="s">
        <v>188</v>
      </c>
      <c r="B34" s="78" t="str">
        <f>IF(B32&lt;0,"N","Y")</f>
        <v>Y</v>
      </c>
      <c r="C34" s="78" t="str">
        <f t="shared" ref="C34:I34" si="6">IF(C32&lt;0,"N","Y")</f>
        <v>Y</v>
      </c>
      <c r="D34" s="78" t="str">
        <f t="shared" si="6"/>
        <v>Y</v>
      </c>
      <c r="E34" s="78" t="str">
        <f t="shared" si="6"/>
        <v>Y</v>
      </c>
      <c r="F34" s="36" t="str">
        <f t="shared" si="6"/>
        <v>Y</v>
      </c>
      <c r="G34" s="36" t="str">
        <f t="shared" si="6"/>
        <v>Y</v>
      </c>
      <c r="H34" s="36" t="str">
        <f t="shared" si="6"/>
        <v>Y</v>
      </c>
      <c r="I34" s="36" t="str">
        <f t="shared" si="6"/>
        <v>Y</v>
      </c>
    </row>
    <row r="35" spans="1:11" x14ac:dyDescent="0.25">
      <c r="B35" s="216"/>
      <c r="C35" s="216"/>
      <c r="F35" s="198"/>
      <c r="G35" s="198"/>
      <c r="H35" s="198"/>
    </row>
    <row r="36" spans="1:11" x14ac:dyDescent="0.25">
      <c r="A36" s="7" t="s">
        <v>1320</v>
      </c>
      <c r="B36" s="216"/>
      <c r="C36" s="216"/>
      <c r="F36" s="198"/>
      <c r="G36" s="198"/>
      <c r="H36" s="198"/>
    </row>
    <row r="37" spans="1:11" x14ac:dyDescent="0.25">
      <c r="B37" s="906" t="s">
        <v>105</v>
      </c>
      <c r="C37" s="907"/>
      <c r="D37" s="908" t="s">
        <v>106</v>
      </c>
      <c r="E37" s="906"/>
      <c r="F37" s="906"/>
      <c r="G37" s="906"/>
      <c r="H37" s="906"/>
      <c r="I37" s="906"/>
      <c r="J37" s="906"/>
    </row>
    <row r="38" spans="1:11" ht="16.5" customHeight="1" x14ac:dyDescent="0.25">
      <c r="B38" s="930" t="s">
        <v>107</v>
      </c>
      <c r="C38" s="933" t="s">
        <v>189</v>
      </c>
      <c r="D38" s="917" t="s">
        <v>1511</v>
      </c>
      <c r="E38" s="936" t="s">
        <v>1512</v>
      </c>
      <c r="F38" s="917" t="s">
        <v>2</v>
      </c>
      <c r="G38" s="919" t="s">
        <v>108</v>
      </c>
      <c r="H38" s="917" t="s">
        <v>109</v>
      </c>
      <c r="I38" s="919" t="s">
        <v>110</v>
      </c>
      <c r="J38" s="921" t="s">
        <v>111</v>
      </c>
    </row>
    <row r="39" spans="1:11" ht="29.25" customHeight="1" x14ac:dyDescent="0.25">
      <c r="B39" s="931"/>
      <c r="C39" s="934"/>
      <c r="D39" s="917"/>
      <c r="E39" s="936"/>
      <c r="F39" s="917"/>
      <c r="G39" s="919"/>
      <c r="H39" s="917"/>
      <c r="I39" s="919"/>
      <c r="J39" s="921"/>
    </row>
    <row r="40" spans="1:11" ht="18.75" customHeight="1" x14ac:dyDescent="0.25">
      <c r="B40" s="931"/>
      <c r="C40" s="934"/>
      <c r="D40" s="917"/>
      <c r="E40" s="936"/>
      <c r="F40" s="917"/>
      <c r="G40" s="919"/>
      <c r="H40" s="917"/>
      <c r="I40" s="919"/>
      <c r="J40" s="921"/>
    </row>
    <row r="41" spans="1:11" ht="15" customHeight="1" x14ac:dyDescent="0.25">
      <c r="B41" s="932"/>
      <c r="C41" s="935"/>
      <c r="D41" s="918"/>
      <c r="E41" s="937"/>
      <c r="F41" s="918"/>
      <c r="G41" s="920"/>
      <c r="H41" s="918"/>
      <c r="I41" s="920"/>
      <c r="J41" s="922"/>
    </row>
    <row r="42" spans="1:11" ht="15.75" customHeight="1" x14ac:dyDescent="0.25">
      <c r="A42" s="148" t="s">
        <v>1442</v>
      </c>
      <c r="B42" s="222">
        <f>+'Schedule 3A_Income Statement'!CO66</f>
        <v>136964907.30654567</v>
      </c>
      <c r="C42" s="222">
        <f>IF(B42/2&gt;'Schedule 3A_Income Statement'!CO23/2*0.88,'Schedule 3A_Income Statement'!CO23/2*0.88,B42/2)</f>
        <v>68482453.653272837</v>
      </c>
      <c r="D42" s="415"/>
      <c r="E42" s="416"/>
      <c r="F42" s="150">
        <f>'Schedule 2_Balance Sheet'!C93</f>
        <v>74755807.069999993</v>
      </c>
      <c r="G42" s="416"/>
      <c r="H42" s="223">
        <f>'Schedule 2_Balance Sheet'!C30</f>
        <v>0</v>
      </c>
      <c r="I42" s="416"/>
      <c r="J42" s="417" t="s">
        <v>1563</v>
      </c>
      <c r="K42" s="198"/>
    </row>
    <row r="43" spans="1:11" ht="15.75" customHeight="1" x14ac:dyDescent="0.25">
      <c r="A43" s="148" t="s">
        <v>1443</v>
      </c>
      <c r="B43" s="222">
        <f>+'Schedule 3A_Income Statement'!CP66</f>
        <v>143805590.62668562</v>
      </c>
      <c r="C43" s="222">
        <f>IF(B43/2&gt;'Schedule 3A_Income Statement'!CP23/2*0.88,'Schedule 3A_Income Statement'!CP23/2*0.88,B43/2)</f>
        <v>69278079.597177491</v>
      </c>
      <c r="D43" s="415"/>
      <c r="E43" s="416"/>
      <c r="F43" s="150">
        <f>'Schedule 2_Balance Sheet'!D93</f>
        <v>74729632.510000035</v>
      </c>
      <c r="G43" s="416"/>
      <c r="H43" s="223">
        <f>'Schedule 2_Balance Sheet'!D30</f>
        <v>0</v>
      </c>
      <c r="I43" s="416"/>
      <c r="J43" s="417" t="s">
        <v>1563</v>
      </c>
      <c r="K43" s="198"/>
    </row>
    <row r="44" spans="1:11" ht="15.75" customHeight="1" x14ac:dyDescent="0.25">
      <c r="A44" s="148" t="s">
        <v>1444</v>
      </c>
      <c r="B44" s="222">
        <f>+'Schedule 3A_Income Statement'!CQ66</f>
        <v>152968301.01842314</v>
      </c>
      <c r="C44" s="222">
        <f>IF(B44/2&gt;'Schedule 3A_Income Statement'!CQ23/2*0.88,'Schedule 3A_Income Statement'!CQ23/2*0.88,B44/2)</f>
        <v>75025521.592162564</v>
      </c>
      <c r="D44" s="415"/>
      <c r="E44" s="416"/>
      <c r="F44" s="150">
        <f>'Schedule 2_Balance Sheet'!E93</f>
        <v>75432012.922013372</v>
      </c>
      <c r="G44" s="416"/>
      <c r="H44" s="223">
        <f>'Schedule 2_Balance Sheet'!E30</f>
        <v>0</v>
      </c>
      <c r="I44" s="416"/>
      <c r="J44" s="417" t="s">
        <v>1563</v>
      </c>
      <c r="K44" s="198"/>
    </row>
    <row r="45" spans="1:11" ht="15.75" customHeight="1" x14ac:dyDescent="0.25">
      <c r="A45" s="148" t="s">
        <v>1445</v>
      </c>
      <c r="B45" s="222">
        <f>'Schedule 3A_Income Statement'!CR66</f>
        <v>160718897.04728684</v>
      </c>
      <c r="C45" s="222">
        <f>IF(B45/2&gt;'Schedule 3A_Income Statement'!CR23/2*0.88,'Schedule 3A_Income Statement'!CR23/2*0.88,B45/2)</f>
        <v>77973934.853962064</v>
      </c>
      <c r="D45" s="415"/>
      <c r="E45" s="416"/>
      <c r="F45" s="150">
        <f>'Schedule 2_Balance Sheet'!F93</f>
        <v>78138558.841076285</v>
      </c>
      <c r="G45" s="416"/>
      <c r="H45" s="223">
        <f>'Schedule 2_Balance Sheet'!F30</f>
        <v>0</v>
      </c>
      <c r="I45" s="416"/>
      <c r="J45" s="417" t="s">
        <v>1563</v>
      </c>
      <c r="K45" s="198"/>
    </row>
    <row r="46" spans="1:11" x14ac:dyDescent="0.25">
      <c r="B46" s="216"/>
      <c r="C46" s="28"/>
      <c r="D46" s="29"/>
      <c r="E46" s="30"/>
    </row>
    <row r="47" spans="1:11" x14ac:dyDescent="0.25">
      <c r="A47" s="923" t="s">
        <v>112</v>
      </c>
      <c r="B47" s="923"/>
      <c r="C47" s="923"/>
    </row>
    <row r="48" spans="1:11" x14ac:dyDescent="0.25">
      <c r="A48" s="148"/>
      <c r="B48" s="216"/>
      <c r="C48" s="216"/>
    </row>
    <row r="49" spans="1:10" ht="15.75" customHeight="1" x14ac:dyDescent="0.25">
      <c r="B49" s="85" t="s">
        <v>113</v>
      </c>
      <c r="C49" s="85" t="s">
        <v>114</v>
      </c>
      <c r="F49" s="924" t="s">
        <v>1413</v>
      </c>
      <c r="G49" s="925"/>
      <c r="H49" s="926"/>
    </row>
    <row r="50" spans="1:10" ht="15.75" customHeight="1" x14ac:dyDescent="0.25">
      <c r="A50" s="148" t="s">
        <v>2</v>
      </c>
      <c r="B50" s="418" t="s">
        <v>1563</v>
      </c>
      <c r="C50" s="419">
        <f>F45</f>
        <v>78138558.841076285</v>
      </c>
      <c r="F50" s="157" t="s">
        <v>115</v>
      </c>
      <c r="G50" s="927" t="s">
        <v>121</v>
      </c>
      <c r="H50" s="926"/>
    </row>
    <row r="51" spans="1:10" ht="15.75" customHeight="1" x14ac:dyDescent="0.25">
      <c r="A51" s="148" t="s">
        <v>117</v>
      </c>
      <c r="B51" s="418"/>
      <c r="C51" s="419"/>
      <c r="F51" s="153" t="s">
        <v>118</v>
      </c>
      <c r="G51" s="928" t="s">
        <v>122</v>
      </c>
      <c r="H51" s="929"/>
    </row>
    <row r="52" spans="1:10" ht="15.75" customHeight="1" x14ac:dyDescent="0.25">
      <c r="A52" s="148" t="s">
        <v>120</v>
      </c>
      <c r="B52" s="418"/>
      <c r="C52" s="419"/>
      <c r="F52" s="153" t="s">
        <v>98</v>
      </c>
      <c r="G52" s="928" t="s">
        <v>116</v>
      </c>
      <c r="H52" s="929"/>
    </row>
    <row r="53" spans="1:10" ht="15.75" customHeight="1" x14ac:dyDescent="0.25">
      <c r="A53" s="19" t="s">
        <v>125</v>
      </c>
      <c r="B53" s="420"/>
      <c r="C53" s="704">
        <f>SUM(C50:C52)</f>
        <v>78138558.841076285</v>
      </c>
      <c r="F53" s="153" t="s">
        <v>99</v>
      </c>
      <c r="G53" s="927" t="s">
        <v>119</v>
      </c>
      <c r="H53" s="926"/>
    </row>
    <row r="54" spans="1:10" x14ac:dyDescent="0.25">
      <c r="A54" s="19"/>
      <c r="B54" s="31"/>
      <c r="C54" s="32"/>
    </row>
    <row r="55" spans="1:10" x14ac:dyDescent="0.25">
      <c r="B55" s="216"/>
      <c r="C55" s="216"/>
    </row>
    <row r="56" spans="1:10" x14ac:dyDescent="0.25">
      <c r="A56" s="224"/>
      <c r="B56" s="7" t="s">
        <v>123</v>
      </c>
      <c r="C56" s="225"/>
    </row>
    <row r="57" spans="1:10" ht="13.35" customHeight="1" x14ac:dyDescent="0.25">
      <c r="B57" s="148" t="s">
        <v>124</v>
      </c>
      <c r="C57" s="225"/>
      <c r="G57" s="713"/>
      <c r="H57" s="713"/>
      <c r="I57" s="713"/>
      <c r="J57" s="713"/>
    </row>
    <row r="58" spans="1:10" x14ac:dyDescent="0.25">
      <c r="A58" s="224"/>
      <c r="B58" s="224"/>
      <c r="C58" s="225"/>
      <c r="F58" s="713"/>
      <c r="G58" s="713"/>
      <c r="H58" s="713"/>
      <c r="I58" s="713"/>
      <c r="J58" s="713"/>
    </row>
    <row r="59" spans="1:10" x14ac:dyDescent="0.25">
      <c r="A59" s="916"/>
      <c r="B59" s="916"/>
      <c r="C59" s="916"/>
    </row>
    <row r="60" spans="1:10" x14ac:dyDescent="0.25">
      <c r="A60" s="224"/>
      <c r="B60" s="224"/>
      <c r="C60" s="225"/>
    </row>
    <row r="61" spans="1:10" x14ac:dyDescent="0.25">
      <c r="A61" s="224"/>
      <c r="B61" s="224"/>
      <c r="C61" s="225"/>
    </row>
    <row r="62" spans="1:10" x14ac:dyDescent="0.25">
      <c r="A62" s="49"/>
      <c r="B62" s="225"/>
      <c r="C62" s="225"/>
    </row>
    <row r="63" spans="1:10" x14ac:dyDescent="0.25">
      <c r="A63" s="225"/>
      <c r="B63" s="225"/>
      <c r="C63" s="225"/>
    </row>
    <row r="64" spans="1:10" x14ac:dyDescent="0.25">
      <c r="B64" s="216"/>
      <c r="C64" s="216"/>
    </row>
  </sheetData>
  <sheetProtection algorithmName="SHA-512" hashValue="WTtPw2ulrdx5UETv3/9THSS6qfL6S+L8FzMZOQ1wsF7NitCJHiFUVcu1UcOkbXUtA2gM4Xhr0uF1qeR3xgZC0Q==" saltValue="H753CidpNgCi4iw/thme4g==" spinCount="100000" sheet="1" formatColumns="0"/>
  <mergeCells count="23">
    <mergeCell ref="A59:C59"/>
    <mergeCell ref="H38:H41"/>
    <mergeCell ref="I38:I41"/>
    <mergeCell ref="J38:J41"/>
    <mergeCell ref="A47:C47"/>
    <mergeCell ref="F49:H49"/>
    <mergeCell ref="G53:H53"/>
    <mergeCell ref="G50:H50"/>
    <mergeCell ref="G51:H51"/>
    <mergeCell ref="G52:H52"/>
    <mergeCell ref="B38:B41"/>
    <mergeCell ref="C38:C41"/>
    <mergeCell ref="D38:D41"/>
    <mergeCell ref="E38:E41"/>
    <mergeCell ref="F38:F41"/>
    <mergeCell ref="G38:G41"/>
    <mergeCell ref="B37:C37"/>
    <mergeCell ref="D37:J37"/>
    <mergeCell ref="B9:E9"/>
    <mergeCell ref="F9:I9"/>
    <mergeCell ref="B24:E24"/>
    <mergeCell ref="F24:I24"/>
    <mergeCell ref="A21:I21"/>
  </mergeCells>
  <phoneticPr fontId="0" type="noConversion"/>
  <conditionalFormatting sqref="B18:I19 B34:I34">
    <cfRule type="cellIs" dxfId="1" priority="1" stopIfTrue="1" operator="equal">
      <formula>"N"</formula>
    </cfRule>
  </conditionalFormatting>
  <pageMargins left="0.7" right="0.7" top="0.75" bottom="0.75" header="0.3" footer="0.3"/>
  <pageSetup scale="5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I11"/>
  <sheetViews>
    <sheetView zoomScale="60" zoomScaleNormal="60" workbookViewId="0">
      <selection activeCell="I9" sqref="I9"/>
    </sheetView>
  </sheetViews>
  <sheetFormatPr defaultRowHeight="13.2" x14ac:dyDescent="0.25"/>
  <cols>
    <col min="1" max="1" width="4.44140625" customWidth="1"/>
    <col min="2" max="2" width="17.77734375" customWidth="1"/>
    <col min="3" max="9" width="15.5546875" customWidth="1"/>
  </cols>
  <sheetData>
    <row r="3" spans="2:9" ht="13.8" thickBot="1" x14ac:dyDescent="0.3"/>
    <row r="4" spans="2:9" s="95" customFormat="1" ht="13.8" x14ac:dyDescent="0.25">
      <c r="B4" s="185" t="s">
        <v>1482</v>
      </c>
      <c r="C4" s="186"/>
      <c r="D4" s="186"/>
      <c r="E4" s="186"/>
      <c r="F4" s="186"/>
      <c r="G4" s="186"/>
      <c r="H4" s="186"/>
      <c r="I4" s="187"/>
    </row>
    <row r="5" spans="2:9" s="95" customFormat="1" ht="14.4" thickBot="1" x14ac:dyDescent="0.3">
      <c r="B5" s="188" t="s">
        <v>1543</v>
      </c>
      <c r="C5" s="189"/>
      <c r="D5" s="189"/>
      <c r="E5" s="189"/>
      <c r="F5" s="189"/>
      <c r="G5" s="189"/>
      <c r="H5" s="189"/>
      <c r="I5" s="190"/>
    </row>
    <row r="6" spans="2:9" s="96" customFormat="1" ht="10.5" customHeight="1" x14ac:dyDescent="0.25">
      <c r="B6" s="98"/>
      <c r="C6" s="99"/>
      <c r="D6" s="99"/>
      <c r="E6" s="99"/>
      <c r="F6" s="743"/>
      <c r="G6" s="743"/>
      <c r="H6" s="743"/>
      <c r="I6" s="100"/>
    </row>
    <row r="7" spans="2:9" s="95" customFormat="1" ht="13.8" x14ac:dyDescent="0.25">
      <c r="B7" s="141" t="s">
        <v>197</v>
      </c>
      <c r="C7" s="142" t="s">
        <v>115</v>
      </c>
      <c r="D7" s="142" t="s">
        <v>118</v>
      </c>
      <c r="E7" s="142" t="s">
        <v>98</v>
      </c>
      <c r="F7" s="142" t="s">
        <v>99</v>
      </c>
      <c r="G7" s="746" t="s">
        <v>1476</v>
      </c>
      <c r="H7" s="744" t="s">
        <v>1477</v>
      </c>
      <c r="I7" s="143" t="s">
        <v>1478</v>
      </c>
    </row>
    <row r="8" spans="2:9" s="97" customFormat="1" ht="13.8" x14ac:dyDescent="0.25">
      <c r="B8" s="144" t="s">
        <v>207</v>
      </c>
      <c r="C8" s="792" t="s">
        <v>1544</v>
      </c>
      <c r="D8" s="792" t="s">
        <v>1545</v>
      </c>
      <c r="E8" s="792" t="s">
        <v>1546</v>
      </c>
      <c r="F8" s="792" t="s">
        <v>1547</v>
      </c>
      <c r="G8" s="793" t="s">
        <v>1548</v>
      </c>
      <c r="H8" s="794" t="s">
        <v>1548</v>
      </c>
      <c r="I8" s="795" t="s">
        <v>1548</v>
      </c>
    </row>
    <row r="9" spans="2:9" s="96" customFormat="1" ht="59.55" customHeight="1" thickBot="1" x14ac:dyDescent="0.3">
      <c r="B9" s="145" t="s">
        <v>198</v>
      </c>
      <c r="C9" s="146" t="s">
        <v>545</v>
      </c>
      <c r="D9" s="146" t="s">
        <v>545</v>
      </c>
      <c r="E9" s="146" t="s">
        <v>545</v>
      </c>
      <c r="F9" s="146" t="s">
        <v>545</v>
      </c>
      <c r="G9" s="747" t="s">
        <v>1479</v>
      </c>
      <c r="H9" s="745" t="s">
        <v>1480</v>
      </c>
      <c r="I9" s="147" t="s">
        <v>1481</v>
      </c>
    </row>
    <row r="11" spans="2:9" x14ac:dyDescent="0.25">
      <c r="B11" s="821" t="s">
        <v>527</v>
      </c>
      <c r="C11" s="821"/>
      <c r="D11" s="821"/>
      <c r="E11" s="821"/>
      <c r="F11" s="821"/>
      <c r="G11" s="821"/>
      <c r="H11" s="821"/>
      <c r="I11" s="821"/>
    </row>
  </sheetData>
  <mergeCells count="1">
    <mergeCell ref="B11:I11"/>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sheetPr>
  <dimension ref="A1:J100"/>
  <sheetViews>
    <sheetView zoomScale="60" zoomScaleNormal="60" workbookViewId="0">
      <selection activeCell="P36" sqref="P36"/>
    </sheetView>
  </sheetViews>
  <sheetFormatPr defaultColWidth="9.44140625" defaultRowHeight="13.2" x14ac:dyDescent="0.25"/>
  <cols>
    <col min="1" max="2" width="6.5546875" style="480" customWidth="1"/>
    <col min="3" max="3" width="33.44140625" style="480" customWidth="1"/>
    <col min="4" max="4" width="24.5546875" style="480" customWidth="1"/>
    <col min="5" max="5" width="37" style="480" customWidth="1"/>
    <col min="6" max="7" width="16.44140625" style="480" customWidth="1"/>
    <col min="8" max="9" width="17.44140625" style="480" customWidth="1"/>
    <col min="10" max="10" width="19.44140625" style="480" customWidth="1"/>
    <col min="11" max="16384" width="9.44140625" style="480"/>
  </cols>
  <sheetData>
    <row r="1" spans="1:10" ht="15.6" x14ac:dyDescent="0.25">
      <c r="A1" s="475" t="s">
        <v>1437</v>
      </c>
      <c r="B1" s="476"/>
      <c r="C1" s="477"/>
      <c r="D1" s="478"/>
      <c r="E1" s="477"/>
      <c r="F1" s="479"/>
      <c r="G1" s="479"/>
      <c r="H1" s="479"/>
      <c r="I1" s="479"/>
      <c r="J1" s="479"/>
    </row>
    <row r="2" spans="1:10" ht="15.6" x14ac:dyDescent="0.25">
      <c r="A2" s="201"/>
      <c r="B2" s="486" t="s">
        <v>26</v>
      </c>
      <c r="C2" s="479"/>
      <c r="D2" s="445" t="str">
        <f>'Schedule 2_Balance Sheet'!C2</f>
        <v>Tufts Associated Health Plans, Inc. (TAHMO)</v>
      </c>
      <c r="E2" s="446"/>
      <c r="F2" s="446"/>
      <c r="G2" s="447"/>
      <c r="H2" s="479"/>
      <c r="I2" s="479"/>
      <c r="J2" s="479"/>
    </row>
    <row r="3" spans="1:10" ht="15.6" x14ac:dyDescent="0.25">
      <c r="A3" s="201"/>
      <c r="B3" s="486" t="s">
        <v>0</v>
      </c>
      <c r="C3" s="479"/>
      <c r="D3" s="580" t="str">
        <f>'Schedule 2_Balance Sheet'!C3</f>
        <v>01/01/2024 - 12/31/2024</v>
      </c>
      <c r="E3" s="581"/>
      <c r="F3" s="581"/>
      <c r="G3" s="582"/>
      <c r="H3" s="479"/>
      <c r="I3" s="479"/>
      <c r="J3" s="479"/>
    </row>
    <row r="4" spans="1:10" ht="15.6" x14ac:dyDescent="0.25">
      <c r="A4" s="201"/>
      <c r="B4" s="486" t="s">
        <v>27</v>
      </c>
      <c r="C4" s="479"/>
      <c r="D4" s="449">
        <f>'Schedule 2_Balance Sheet'!C4</f>
        <v>45657</v>
      </c>
      <c r="E4" s="446"/>
      <c r="F4" s="446"/>
      <c r="G4" s="447"/>
      <c r="H4" s="479"/>
      <c r="I4" s="479"/>
      <c r="J4" s="479"/>
    </row>
    <row r="5" spans="1:10" ht="15.6" x14ac:dyDescent="0.25">
      <c r="A5" s="201"/>
      <c r="B5" s="486" t="s">
        <v>28</v>
      </c>
      <c r="C5" s="479"/>
      <c r="D5" s="445" t="str">
        <f>'Schedule 2_Balance Sheet'!C5</f>
        <v>Roshni Parikh</v>
      </c>
      <c r="E5" s="446"/>
      <c r="F5" s="446"/>
      <c r="G5" s="447"/>
      <c r="H5" s="479"/>
      <c r="I5" s="479"/>
      <c r="J5" s="479"/>
    </row>
    <row r="6" spans="1:10" ht="15.6" x14ac:dyDescent="0.25">
      <c r="A6" s="201"/>
      <c r="B6" s="486" t="s">
        <v>29</v>
      </c>
      <c r="C6" s="479"/>
      <c r="D6" s="449">
        <f>'Schedule 2_Balance Sheet'!C6</f>
        <v>45657</v>
      </c>
      <c r="E6" s="446"/>
      <c r="F6" s="446"/>
      <c r="G6" s="447"/>
      <c r="H6" s="479"/>
      <c r="I6" s="479"/>
      <c r="J6" s="479"/>
    </row>
    <row r="7" spans="1:10" ht="15.6" x14ac:dyDescent="0.3">
      <c r="A7" s="481"/>
      <c r="B7" s="199" t="s">
        <v>543</v>
      </c>
      <c r="C7" s="479"/>
      <c r="D7" s="479"/>
      <c r="E7" s="479"/>
      <c r="F7" s="479"/>
      <c r="G7" s="479"/>
      <c r="H7" s="479"/>
      <c r="I7" s="479"/>
      <c r="J7" s="479"/>
    </row>
    <row r="8" spans="1:10" ht="27" thickBot="1" x14ac:dyDescent="0.3">
      <c r="A8" s="707" t="s">
        <v>269</v>
      </c>
      <c r="B8" s="707" t="s">
        <v>515</v>
      </c>
      <c r="C8" s="707" t="s">
        <v>516</v>
      </c>
      <c r="D8" s="707" t="s">
        <v>517</v>
      </c>
      <c r="E8" s="707" t="s">
        <v>526</v>
      </c>
      <c r="F8" s="707" t="s">
        <v>273</v>
      </c>
      <c r="G8" s="707" t="s">
        <v>272</v>
      </c>
      <c r="H8" s="707" t="s">
        <v>271</v>
      </c>
      <c r="I8" s="707" t="s">
        <v>277</v>
      </c>
      <c r="J8" s="707" t="s">
        <v>1367</v>
      </c>
    </row>
    <row r="9" spans="1:10" x14ac:dyDescent="0.25">
      <c r="A9" s="482">
        <v>1</v>
      </c>
      <c r="B9" s="491"/>
      <c r="C9" s="490"/>
      <c r="D9" s="490"/>
      <c r="E9" s="492"/>
      <c r="F9" s="499"/>
      <c r="G9" s="499"/>
      <c r="H9" s="499"/>
      <c r="I9" s="499"/>
      <c r="J9" s="487">
        <f t="shared" ref="J9:J72" si="0">SUM(F9:I9)</f>
        <v>0</v>
      </c>
    </row>
    <row r="10" spans="1:10" x14ac:dyDescent="0.25">
      <c r="A10" s="483">
        <v>2</v>
      </c>
      <c r="B10" s="493"/>
      <c r="C10" s="494"/>
      <c r="D10" s="494"/>
      <c r="E10" s="495"/>
      <c r="F10" s="500"/>
      <c r="G10" s="500"/>
      <c r="H10" s="500"/>
      <c r="I10" s="500"/>
      <c r="J10" s="488">
        <f t="shared" si="0"/>
        <v>0</v>
      </c>
    </row>
    <row r="11" spans="1:10" x14ac:dyDescent="0.25">
      <c r="A11" s="483">
        <v>3</v>
      </c>
      <c r="B11" s="493"/>
      <c r="C11" s="494"/>
      <c r="D11" s="494"/>
      <c r="E11" s="495"/>
      <c r="F11" s="500"/>
      <c r="G11" s="500"/>
      <c r="H11" s="500"/>
      <c r="I11" s="500"/>
      <c r="J11" s="488">
        <f t="shared" si="0"/>
        <v>0</v>
      </c>
    </row>
    <row r="12" spans="1:10" x14ac:dyDescent="0.25">
      <c r="A12" s="483">
        <v>4</v>
      </c>
      <c r="B12" s="493"/>
      <c r="C12" s="494"/>
      <c r="D12" s="494"/>
      <c r="E12" s="495"/>
      <c r="F12" s="500"/>
      <c r="G12" s="500"/>
      <c r="H12" s="500"/>
      <c r="I12" s="500"/>
      <c r="J12" s="488">
        <f t="shared" si="0"/>
        <v>0</v>
      </c>
    </row>
    <row r="13" spans="1:10" x14ac:dyDescent="0.25">
      <c r="A13" s="483">
        <v>5</v>
      </c>
      <c r="B13" s="493"/>
      <c r="C13" s="494"/>
      <c r="D13" s="494"/>
      <c r="E13" s="495"/>
      <c r="F13" s="500"/>
      <c r="G13" s="500"/>
      <c r="H13" s="500"/>
      <c r="I13" s="500"/>
      <c r="J13" s="488">
        <f t="shared" si="0"/>
        <v>0</v>
      </c>
    </row>
    <row r="14" spans="1:10" x14ac:dyDescent="0.25">
      <c r="A14" s="483">
        <v>6</v>
      </c>
      <c r="B14" s="493"/>
      <c r="C14" s="494"/>
      <c r="D14" s="494"/>
      <c r="E14" s="495"/>
      <c r="F14" s="500"/>
      <c r="G14" s="500"/>
      <c r="H14" s="500"/>
      <c r="I14" s="500"/>
      <c r="J14" s="488">
        <f t="shared" si="0"/>
        <v>0</v>
      </c>
    </row>
    <row r="15" spans="1:10" x14ac:dyDescent="0.25">
      <c r="A15" s="483">
        <v>7</v>
      </c>
      <c r="B15" s="493"/>
      <c r="C15" s="494"/>
      <c r="D15" s="494"/>
      <c r="E15" s="495"/>
      <c r="F15" s="500"/>
      <c r="G15" s="500"/>
      <c r="H15" s="500"/>
      <c r="I15" s="500"/>
      <c r="J15" s="488">
        <f t="shared" si="0"/>
        <v>0</v>
      </c>
    </row>
    <row r="16" spans="1:10" x14ac:dyDescent="0.25">
      <c r="A16" s="483">
        <v>8</v>
      </c>
      <c r="B16" s="493"/>
      <c r="C16" s="494"/>
      <c r="D16" s="494"/>
      <c r="E16" s="495"/>
      <c r="F16" s="500"/>
      <c r="G16" s="500"/>
      <c r="H16" s="500"/>
      <c r="I16" s="500"/>
      <c r="J16" s="488">
        <f t="shared" si="0"/>
        <v>0</v>
      </c>
    </row>
    <row r="17" spans="1:10" x14ac:dyDescent="0.25">
      <c r="A17" s="483">
        <v>9</v>
      </c>
      <c r="B17" s="493"/>
      <c r="C17" s="494"/>
      <c r="D17" s="494"/>
      <c r="E17" s="495"/>
      <c r="F17" s="500"/>
      <c r="G17" s="500"/>
      <c r="H17" s="500"/>
      <c r="I17" s="500"/>
      <c r="J17" s="488">
        <f t="shared" si="0"/>
        <v>0</v>
      </c>
    </row>
    <row r="18" spans="1:10" x14ac:dyDescent="0.25">
      <c r="A18" s="483">
        <v>10</v>
      </c>
      <c r="B18" s="493"/>
      <c r="C18" s="494"/>
      <c r="D18" s="494"/>
      <c r="E18" s="495"/>
      <c r="F18" s="500"/>
      <c r="G18" s="500"/>
      <c r="H18" s="500"/>
      <c r="I18" s="500"/>
      <c r="J18" s="488">
        <f t="shared" si="0"/>
        <v>0</v>
      </c>
    </row>
    <row r="19" spans="1:10" x14ac:dyDescent="0.25">
      <c r="A19" s="483">
        <v>11</v>
      </c>
      <c r="B19" s="493"/>
      <c r="C19" s="494"/>
      <c r="D19" s="494"/>
      <c r="E19" s="495"/>
      <c r="F19" s="500"/>
      <c r="G19" s="500"/>
      <c r="H19" s="500"/>
      <c r="I19" s="500"/>
      <c r="J19" s="488">
        <f t="shared" si="0"/>
        <v>0</v>
      </c>
    </row>
    <row r="20" spans="1:10" x14ac:dyDescent="0.25">
      <c r="A20" s="483">
        <v>12</v>
      </c>
      <c r="B20" s="493"/>
      <c r="C20" s="494"/>
      <c r="D20" s="494"/>
      <c r="E20" s="495"/>
      <c r="F20" s="500"/>
      <c r="G20" s="500"/>
      <c r="H20" s="500"/>
      <c r="I20" s="500"/>
      <c r="J20" s="488">
        <f t="shared" si="0"/>
        <v>0</v>
      </c>
    </row>
    <row r="21" spans="1:10" x14ac:dyDescent="0.25">
      <c r="A21" s="483">
        <v>13</v>
      </c>
      <c r="B21" s="493"/>
      <c r="C21" s="494"/>
      <c r="D21" s="494"/>
      <c r="E21" s="495"/>
      <c r="F21" s="500"/>
      <c r="G21" s="500"/>
      <c r="H21" s="500"/>
      <c r="I21" s="500"/>
      <c r="J21" s="488">
        <f t="shared" si="0"/>
        <v>0</v>
      </c>
    </row>
    <row r="22" spans="1:10" x14ac:dyDescent="0.25">
      <c r="A22" s="483">
        <v>14</v>
      </c>
      <c r="B22" s="493"/>
      <c r="C22" s="494"/>
      <c r="D22" s="494"/>
      <c r="E22" s="495"/>
      <c r="F22" s="500"/>
      <c r="G22" s="500"/>
      <c r="H22" s="500"/>
      <c r="I22" s="500"/>
      <c r="J22" s="488">
        <f t="shared" si="0"/>
        <v>0</v>
      </c>
    </row>
    <row r="23" spans="1:10" x14ac:dyDescent="0.25">
      <c r="A23" s="483">
        <v>15</v>
      </c>
      <c r="B23" s="493"/>
      <c r="C23" s="494"/>
      <c r="D23" s="494"/>
      <c r="E23" s="495"/>
      <c r="F23" s="500"/>
      <c r="G23" s="500"/>
      <c r="H23" s="500"/>
      <c r="I23" s="500"/>
      <c r="J23" s="488">
        <f t="shared" si="0"/>
        <v>0</v>
      </c>
    </row>
    <row r="24" spans="1:10" x14ac:dyDescent="0.25">
      <c r="A24" s="483">
        <v>16</v>
      </c>
      <c r="B24" s="493"/>
      <c r="C24" s="494"/>
      <c r="D24" s="494"/>
      <c r="E24" s="495"/>
      <c r="F24" s="500"/>
      <c r="G24" s="500"/>
      <c r="H24" s="500"/>
      <c r="I24" s="500"/>
      <c r="J24" s="488">
        <f t="shared" si="0"/>
        <v>0</v>
      </c>
    </row>
    <row r="25" spans="1:10" x14ac:dyDescent="0.25">
      <c r="A25" s="483">
        <v>17</v>
      </c>
      <c r="B25" s="493"/>
      <c r="C25" s="494"/>
      <c r="D25" s="494"/>
      <c r="E25" s="495"/>
      <c r="F25" s="500"/>
      <c r="G25" s="500"/>
      <c r="H25" s="500"/>
      <c r="I25" s="500"/>
      <c r="J25" s="488">
        <f t="shared" si="0"/>
        <v>0</v>
      </c>
    </row>
    <row r="26" spans="1:10" x14ac:dyDescent="0.25">
      <c r="A26" s="483">
        <v>18</v>
      </c>
      <c r="B26" s="493"/>
      <c r="C26" s="494"/>
      <c r="D26" s="494"/>
      <c r="E26" s="495"/>
      <c r="F26" s="500"/>
      <c r="G26" s="500"/>
      <c r="H26" s="500"/>
      <c r="I26" s="500"/>
      <c r="J26" s="488">
        <f t="shared" si="0"/>
        <v>0</v>
      </c>
    </row>
    <row r="27" spans="1:10" x14ac:dyDescent="0.25">
      <c r="A27" s="483">
        <v>19</v>
      </c>
      <c r="B27" s="493"/>
      <c r="C27" s="494"/>
      <c r="D27" s="494"/>
      <c r="E27" s="495"/>
      <c r="F27" s="500"/>
      <c r="G27" s="500"/>
      <c r="H27" s="500"/>
      <c r="I27" s="500"/>
      <c r="J27" s="488">
        <f t="shared" si="0"/>
        <v>0</v>
      </c>
    </row>
    <row r="28" spans="1:10" x14ac:dyDescent="0.25">
      <c r="A28" s="483">
        <v>20</v>
      </c>
      <c r="B28" s="493"/>
      <c r="C28" s="494"/>
      <c r="D28" s="494"/>
      <c r="E28" s="495"/>
      <c r="F28" s="500"/>
      <c r="G28" s="500"/>
      <c r="H28" s="500"/>
      <c r="I28" s="500"/>
      <c r="J28" s="488">
        <f t="shared" si="0"/>
        <v>0</v>
      </c>
    </row>
    <row r="29" spans="1:10" x14ac:dyDescent="0.25">
      <c r="A29" s="483">
        <v>21</v>
      </c>
      <c r="B29" s="493"/>
      <c r="C29" s="494"/>
      <c r="D29" s="494"/>
      <c r="E29" s="495"/>
      <c r="F29" s="500"/>
      <c r="G29" s="500"/>
      <c r="H29" s="500"/>
      <c r="I29" s="500"/>
      <c r="J29" s="488">
        <f t="shared" si="0"/>
        <v>0</v>
      </c>
    </row>
    <row r="30" spans="1:10" x14ac:dyDescent="0.25">
      <c r="A30" s="483">
        <v>22</v>
      </c>
      <c r="B30" s="493"/>
      <c r="C30" s="494"/>
      <c r="D30" s="494"/>
      <c r="E30" s="495"/>
      <c r="F30" s="500"/>
      <c r="G30" s="500"/>
      <c r="H30" s="500"/>
      <c r="I30" s="500"/>
      <c r="J30" s="488">
        <f t="shared" si="0"/>
        <v>0</v>
      </c>
    </row>
    <row r="31" spans="1:10" x14ac:dyDescent="0.25">
      <c r="A31" s="483">
        <v>23</v>
      </c>
      <c r="B31" s="493"/>
      <c r="C31" s="494"/>
      <c r="D31" s="494"/>
      <c r="E31" s="495"/>
      <c r="F31" s="500"/>
      <c r="G31" s="500"/>
      <c r="H31" s="500"/>
      <c r="I31" s="500"/>
      <c r="J31" s="488">
        <f t="shared" si="0"/>
        <v>0</v>
      </c>
    </row>
    <row r="32" spans="1:10" x14ac:dyDescent="0.25">
      <c r="A32" s="483">
        <v>24</v>
      </c>
      <c r="B32" s="493"/>
      <c r="C32" s="494"/>
      <c r="D32" s="494"/>
      <c r="E32" s="495"/>
      <c r="F32" s="500"/>
      <c r="G32" s="500"/>
      <c r="H32" s="500"/>
      <c r="I32" s="500"/>
      <c r="J32" s="488">
        <f t="shared" si="0"/>
        <v>0</v>
      </c>
    </row>
    <row r="33" spans="1:10" x14ac:dyDescent="0.25">
      <c r="A33" s="483">
        <v>25</v>
      </c>
      <c r="B33" s="493"/>
      <c r="C33" s="494"/>
      <c r="D33" s="494"/>
      <c r="E33" s="495"/>
      <c r="F33" s="500"/>
      <c r="G33" s="500"/>
      <c r="H33" s="500"/>
      <c r="I33" s="500"/>
      <c r="J33" s="488">
        <f t="shared" si="0"/>
        <v>0</v>
      </c>
    </row>
    <row r="34" spans="1:10" x14ac:dyDescent="0.25">
      <c r="A34" s="483">
        <v>26</v>
      </c>
      <c r="B34" s="493"/>
      <c r="C34" s="494"/>
      <c r="D34" s="494"/>
      <c r="E34" s="495"/>
      <c r="F34" s="500"/>
      <c r="G34" s="500"/>
      <c r="H34" s="500"/>
      <c r="I34" s="500"/>
      <c r="J34" s="488">
        <f t="shared" si="0"/>
        <v>0</v>
      </c>
    </row>
    <row r="35" spans="1:10" x14ac:dyDescent="0.25">
      <c r="A35" s="483">
        <v>27</v>
      </c>
      <c r="B35" s="493"/>
      <c r="C35" s="494"/>
      <c r="D35" s="494"/>
      <c r="E35" s="495"/>
      <c r="F35" s="500"/>
      <c r="G35" s="500"/>
      <c r="H35" s="500"/>
      <c r="I35" s="500"/>
      <c r="J35" s="488">
        <f t="shared" si="0"/>
        <v>0</v>
      </c>
    </row>
    <row r="36" spans="1:10" x14ac:dyDescent="0.25">
      <c r="A36" s="483">
        <v>28</v>
      </c>
      <c r="B36" s="493"/>
      <c r="C36" s="494"/>
      <c r="D36" s="494"/>
      <c r="E36" s="495"/>
      <c r="F36" s="500"/>
      <c r="G36" s="500"/>
      <c r="H36" s="500"/>
      <c r="I36" s="500"/>
      <c r="J36" s="488">
        <f t="shared" si="0"/>
        <v>0</v>
      </c>
    </row>
    <row r="37" spans="1:10" x14ac:dyDescent="0.25">
      <c r="A37" s="483">
        <v>29</v>
      </c>
      <c r="B37" s="493"/>
      <c r="C37" s="494"/>
      <c r="D37" s="494"/>
      <c r="E37" s="495"/>
      <c r="F37" s="500"/>
      <c r="G37" s="500"/>
      <c r="H37" s="500"/>
      <c r="I37" s="500"/>
      <c r="J37" s="488">
        <f t="shared" si="0"/>
        <v>0</v>
      </c>
    </row>
    <row r="38" spans="1:10" x14ac:dyDescent="0.25">
      <c r="A38" s="483">
        <v>30</v>
      </c>
      <c r="B38" s="493"/>
      <c r="C38" s="494"/>
      <c r="D38" s="494"/>
      <c r="E38" s="495"/>
      <c r="F38" s="500"/>
      <c r="G38" s="500"/>
      <c r="H38" s="500"/>
      <c r="I38" s="500"/>
      <c r="J38" s="488">
        <f t="shared" si="0"/>
        <v>0</v>
      </c>
    </row>
    <row r="39" spans="1:10" x14ac:dyDescent="0.25">
      <c r="A39" s="483">
        <v>31</v>
      </c>
      <c r="B39" s="493"/>
      <c r="C39" s="494"/>
      <c r="D39" s="494"/>
      <c r="E39" s="495"/>
      <c r="F39" s="500"/>
      <c r="G39" s="500"/>
      <c r="H39" s="500"/>
      <c r="I39" s="500"/>
      <c r="J39" s="488">
        <f t="shared" si="0"/>
        <v>0</v>
      </c>
    </row>
    <row r="40" spans="1:10" x14ac:dyDescent="0.25">
      <c r="A40" s="483">
        <v>32</v>
      </c>
      <c r="B40" s="493"/>
      <c r="C40" s="494"/>
      <c r="D40" s="494"/>
      <c r="E40" s="495"/>
      <c r="F40" s="500"/>
      <c r="G40" s="500"/>
      <c r="H40" s="500"/>
      <c r="I40" s="500"/>
      <c r="J40" s="488">
        <f t="shared" si="0"/>
        <v>0</v>
      </c>
    </row>
    <row r="41" spans="1:10" x14ac:dyDescent="0.25">
      <c r="A41" s="483">
        <v>33</v>
      </c>
      <c r="B41" s="493"/>
      <c r="C41" s="494"/>
      <c r="D41" s="494"/>
      <c r="E41" s="495"/>
      <c r="F41" s="500"/>
      <c r="G41" s="500"/>
      <c r="H41" s="500"/>
      <c r="I41" s="500"/>
      <c r="J41" s="488">
        <f t="shared" si="0"/>
        <v>0</v>
      </c>
    </row>
    <row r="42" spans="1:10" x14ac:dyDescent="0.25">
      <c r="A42" s="483">
        <v>34</v>
      </c>
      <c r="B42" s="493"/>
      <c r="C42" s="494"/>
      <c r="D42" s="494"/>
      <c r="E42" s="495"/>
      <c r="F42" s="500"/>
      <c r="G42" s="500"/>
      <c r="H42" s="500"/>
      <c r="I42" s="500"/>
      <c r="J42" s="488">
        <f t="shared" si="0"/>
        <v>0</v>
      </c>
    </row>
    <row r="43" spans="1:10" x14ac:dyDescent="0.25">
      <c r="A43" s="483">
        <v>35</v>
      </c>
      <c r="B43" s="493"/>
      <c r="C43" s="494"/>
      <c r="D43" s="494"/>
      <c r="E43" s="495"/>
      <c r="F43" s="500"/>
      <c r="G43" s="500"/>
      <c r="H43" s="500"/>
      <c r="I43" s="500"/>
      <c r="J43" s="488">
        <f t="shared" si="0"/>
        <v>0</v>
      </c>
    </row>
    <row r="44" spans="1:10" x14ac:dyDescent="0.25">
      <c r="A44" s="483">
        <v>36</v>
      </c>
      <c r="B44" s="493"/>
      <c r="C44" s="494"/>
      <c r="D44" s="494"/>
      <c r="E44" s="495"/>
      <c r="F44" s="500"/>
      <c r="G44" s="500"/>
      <c r="H44" s="500"/>
      <c r="I44" s="500"/>
      <c r="J44" s="488">
        <f t="shared" si="0"/>
        <v>0</v>
      </c>
    </row>
    <row r="45" spans="1:10" x14ac:dyDescent="0.25">
      <c r="A45" s="483">
        <v>37</v>
      </c>
      <c r="B45" s="493"/>
      <c r="C45" s="494"/>
      <c r="D45" s="494"/>
      <c r="E45" s="495"/>
      <c r="F45" s="500"/>
      <c r="G45" s="500"/>
      <c r="H45" s="500"/>
      <c r="I45" s="500"/>
      <c r="J45" s="488">
        <f t="shared" si="0"/>
        <v>0</v>
      </c>
    </row>
    <row r="46" spans="1:10" x14ac:dyDescent="0.25">
      <c r="A46" s="483">
        <v>38</v>
      </c>
      <c r="B46" s="493"/>
      <c r="C46" s="494"/>
      <c r="D46" s="494"/>
      <c r="E46" s="495"/>
      <c r="F46" s="500"/>
      <c r="G46" s="500"/>
      <c r="H46" s="500"/>
      <c r="I46" s="500"/>
      <c r="J46" s="488">
        <f t="shared" si="0"/>
        <v>0</v>
      </c>
    </row>
    <row r="47" spans="1:10" x14ac:dyDescent="0.25">
      <c r="A47" s="483">
        <v>39</v>
      </c>
      <c r="B47" s="493"/>
      <c r="C47" s="494"/>
      <c r="D47" s="494"/>
      <c r="E47" s="495"/>
      <c r="F47" s="500"/>
      <c r="G47" s="500"/>
      <c r="H47" s="500"/>
      <c r="I47" s="500"/>
      <c r="J47" s="488">
        <f t="shared" si="0"/>
        <v>0</v>
      </c>
    </row>
    <row r="48" spans="1:10" x14ac:dyDescent="0.25">
      <c r="A48" s="483">
        <v>40</v>
      </c>
      <c r="B48" s="493"/>
      <c r="C48" s="494"/>
      <c r="D48" s="494"/>
      <c r="E48" s="495"/>
      <c r="F48" s="500"/>
      <c r="G48" s="500"/>
      <c r="H48" s="500"/>
      <c r="I48" s="500"/>
      <c r="J48" s="488">
        <f t="shared" si="0"/>
        <v>0</v>
      </c>
    </row>
    <row r="49" spans="1:10" x14ac:dyDescent="0.25">
      <c r="A49" s="483">
        <v>41</v>
      </c>
      <c r="B49" s="493"/>
      <c r="C49" s="494"/>
      <c r="D49" s="494"/>
      <c r="E49" s="495"/>
      <c r="F49" s="500"/>
      <c r="G49" s="500"/>
      <c r="H49" s="500"/>
      <c r="I49" s="500"/>
      <c r="J49" s="488">
        <f t="shared" si="0"/>
        <v>0</v>
      </c>
    </row>
    <row r="50" spans="1:10" x14ac:dyDescent="0.25">
      <c r="A50" s="483">
        <v>42</v>
      </c>
      <c r="B50" s="493"/>
      <c r="C50" s="494"/>
      <c r="D50" s="494"/>
      <c r="E50" s="495"/>
      <c r="F50" s="500"/>
      <c r="G50" s="500"/>
      <c r="H50" s="500"/>
      <c r="I50" s="500"/>
      <c r="J50" s="488">
        <f t="shared" si="0"/>
        <v>0</v>
      </c>
    </row>
    <row r="51" spans="1:10" x14ac:dyDescent="0.25">
      <c r="A51" s="483">
        <v>43</v>
      </c>
      <c r="B51" s="493"/>
      <c r="C51" s="494"/>
      <c r="D51" s="494"/>
      <c r="E51" s="495"/>
      <c r="F51" s="500"/>
      <c r="G51" s="500"/>
      <c r="H51" s="500"/>
      <c r="I51" s="500"/>
      <c r="J51" s="488">
        <f t="shared" si="0"/>
        <v>0</v>
      </c>
    </row>
    <row r="52" spans="1:10" x14ac:dyDescent="0.25">
      <c r="A52" s="483">
        <v>44</v>
      </c>
      <c r="B52" s="493"/>
      <c r="C52" s="494"/>
      <c r="D52" s="494"/>
      <c r="E52" s="495"/>
      <c r="F52" s="500"/>
      <c r="G52" s="500"/>
      <c r="H52" s="500"/>
      <c r="I52" s="500"/>
      <c r="J52" s="488">
        <f t="shared" si="0"/>
        <v>0</v>
      </c>
    </row>
    <row r="53" spans="1:10" x14ac:dyDescent="0.25">
      <c r="A53" s="483">
        <v>45</v>
      </c>
      <c r="B53" s="493"/>
      <c r="C53" s="494"/>
      <c r="D53" s="494"/>
      <c r="E53" s="495"/>
      <c r="F53" s="500"/>
      <c r="G53" s="500"/>
      <c r="H53" s="500"/>
      <c r="I53" s="500"/>
      <c r="J53" s="488">
        <f t="shared" si="0"/>
        <v>0</v>
      </c>
    </row>
    <row r="54" spans="1:10" x14ac:dyDescent="0.25">
      <c r="A54" s="483">
        <v>46</v>
      </c>
      <c r="B54" s="493"/>
      <c r="C54" s="494"/>
      <c r="D54" s="494"/>
      <c r="E54" s="495"/>
      <c r="F54" s="500"/>
      <c r="G54" s="500"/>
      <c r="H54" s="500"/>
      <c r="I54" s="500"/>
      <c r="J54" s="488">
        <f t="shared" si="0"/>
        <v>0</v>
      </c>
    </row>
    <row r="55" spans="1:10" x14ac:dyDescent="0.25">
      <c r="A55" s="483">
        <v>47</v>
      </c>
      <c r="B55" s="493"/>
      <c r="C55" s="494"/>
      <c r="D55" s="494"/>
      <c r="E55" s="495"/>
      <c r="F55" s="500"/>
      <c r="G55" s="500"/>
      <c r="H55" s="500"/>
      <c r="I55" s="500"/>
      <c r="J55" s="488">
        <f t="shared" si="0"/>
        <v>0</v>
      </c>
    </row>
    <row r="56" spans="1:10" x14ac:dyDescent="0.25">
      <c r="A56" s="483">
        <v>48</v>
      </c>
      <c r="B56" s="493"/>
      <c r="C56" s="494"/>
      <c r="D56" s="494"/>
      <c r="E56" s="495"/>
      <c r="F56" s="500"/>
      <c r="G56" s="500"/>
      <c r="H56" s="500"/>
      <c r="I56" s="500"/>
      <c r="J56" s="488">
        <f t="shared" si="0"/>
        <v>0</v>
      </c>
    </row>
    <row r="57" spans="1:10" x14ac:dyDescent="0.25">
      <c r="A57" s="483">
        <v>49</v>
      </c>
      <c r="B57" s="493"/>
      <c r="C57" s="494"/>
      <c r="D57" s="494"/>
      <c r="E57" s="495"/>
      <c r="F57" s="500"/>
      <c r="G57" s="500"/>
      <c r="H57" s="500"/>
      <c r="I57" s="500"/>
      <c r="J57" s="488">
        <f t="shared" si="0"/>
        <v>0</v>
      </c>
    </row>
    <row r="58" spans="1:10" x14ac:dyDescent="0.25">
      <c r="A58" s="483">
        <v>50</v>
      </c>
      <c r="B58" s="493"/>
      <c r="C58" s="494"/>
      <c r="D58" s="494"/>
      <c r="E58" s="495"/>
      <c r="F58" s="500"/>
      <c r="G58" s="500"/>
      <c r="H58" s="500"/>
      <c r="I58" s="500"/>
      <c r="J58" s="488">
        <f t="shared" si="0"/>
        <v>0</v>
      </c>
    </row>
    <row r="59" spans="1:10" x14ac:dyDescent="0.25">
      <c r="A59" s="483">
        <v>51</v>
      </c>
      <c r="B59" s="493"/>
      <c r="C59" s="494"/>
      <c r="D59" s="494"/>
      <c r="E59" s="495"/>
      <c r="F59" s="500"/>
      <c r="G59" s="500"/>
      <c r="H59" s="500"/>
      <c r="I59" s="500"/>
      <c r="J59" s="488">
        <f t="shared" si="0"/>
        <v>0</v>
      </c>
    </row>
    <row r="60" spans="1:10" x14ac:dyDescent="0.25">
      <c r="A60" s="483">
        <v>52</v>
      </c>
      <c r="B60" s="493"/>
      <c r="C60" s="494"/>
      <c r="D60" s="494"/>
      <c r="E60" s="495"/>
      <c r="F60" s="500"/>
      <c r="G60" s="500"/>
      <c r="H60" s="500"/>
      <c r="I60" s="500"/>
      <c r="J60" s="488">
        <f t="shared" si="0"/>
        <v>0</v>
      </c>
    </row>
    <row r="61" spans="1:10" x14ac:dyDescent="0.25">
      <c r="A61" s="483">
        <v>53</v>
      </c>
      <c r="B61" s="493"/>
      <c r="C61" s="494"/>
      <c r="D61" s="494"/>
      <c r="E61" s="495"/>
      <c r="F61" s="500"/>
      <c r="G61" s="500"/>
      <c r="H61" s="500"/>
      <c r="I61" s="500"/>
      <c r="J61" s="488">
        <f t="shared" si="0"/>
        <v>0</v>
      </c>
    </row>
    <row r="62" spans="1:10" x14ac:dyDescent="0.25">
      <c r="A62" s="483">
        <v>54</v>
      </c>
      <c r="B62" s="493"/>
      <c r="C62" s="494"/>
      <c r="D62" s="494"/>
      <c r="E62" s="495"/>
      <c r="F62" s="500"/>
      <c r="G62" s="500"/>
      <c r="H62" s="500"/>
      <c r="I62" s="500"/>
      <c r="J62" s="488">
        <f t="shared" si="0"/>
        <v>0</v>
      </c>
    </row>
    <row r="63" spans="1:10" x14ac:dyDescent="0.25">
      <c r="A63" s="483">
        <v>55</v>
      </c>
      <c r="B63" s="493"/>
      <c r="C63" s="494"/>
      <c r="D63" s="494"/>
      <c r="E63" s="495"/>
      <c r="F63" s="500"/>
      <c r="G63" s="500"/>
      <c r="H63" s="500"/>
      <c r="I63" s="500"/>
      <c r="J63" s="488">
        <f t="shared" si="0"/>
        <v>0</v>
      </c>
    </row>
    <row r="64" spans="1:10" x14ac:dyDescent="0.25">
      <c r="A64" s="483">
        <v>56</v>
      </c>
      <c r="B64" s="493"/>
      <c r="C64" s="494"/>
      <c r="D64" s="494"/>
      <c r="E64" s="495"/>
      <c r="F64" s="500"/>
      <c r="G64" s="500"/>
      <c r="H64" s="500"/>
      <c r="I64" s="500"/>
      <c r="J64" s="488">
        <f t="shared" si="0"/>
        <v>0</v>
      </c>
    </row>
    <row r="65" spans="1:10" x14ac:dyDescent="0.25">
      <c r="A65" s="483">
        <v>57</v>
      </c>
      <c r="B65" s="493"/>
      <c r="C65" s="494"/>
      <c r="D65" s="494"/>
      <c r="E65" s="495"/>
      <c r="F65" s="500"/>
      <c r="G65" s="500"/>
      <c r="H65" s="500"/>
      <c r="I65" s="500"/>
      <c r="J65" s="488">
        <f t="shared" si="0"/>
        <v>0</v>
      </c>
    </row>
    <row r="66" spans="1:10" x14ac:dyDescent="0.25">
      <c r="A66" s="483">
        <v>58</v>
      </c>
      <c r="B66" s="493"/>
      <c r="C66" s="494"/>
      <c r="D66" s="494"/>
      <c r="E66" s="495"/>
      <c r="F66" s="500"/>
      <c r="G66" s="500"/>
      <c r="H66" s="500"/>
      <c r="I66" s="500"/>
      <c r="J66" s="488">
        <f t="shared" si="0"/>
        <v>0</v>
      </c>
    </row>
    <row r="67" spans="1:10" x14ac:dyDescent="0.25">
      <c r="A67" s="483">
        <v>59</v>
      </c>
      <c r="B67" s="493"/>
      <c r="C67" s="494"/>
      <c r="D67" s="494"/>
      <c r="E67" s="495"/>
      <c r="F67" s="500"/>
      <c r="G67" s="500"/>
      <c r="H67" s="500"/>
      <c r="I67" s="500"/>
      <c r="J67" s="488">
        <f t="shared" si="0"/>
        <v>0</v>
      </c>
    </row>
    <row r="68" spans="1:10" x14ac:dyDescent="0.25">
      <c r="A68" s="483">
        <v>60</v>
      </c>
      <c r="B68" s="493"/>
      <c r="C68" s="494"/>
      <c r="D68" s="494"/>
      <c r="E68" s="495"/>
      <c r="F68" s="500"/>
      <c r="G68" s="500"/>
      <c r="H68" s="500"/>
      <c r="I68" s="500"/>
      <c r="J68" s="488">
        <f t="shared" si="0"/>
        <v>0</v>
      </c>
    </row>
    <row r="69" spans="1:10" x14ac:dyDescent="0.25">
      <c r="A69" s="483">
        <v>61</v>
      </c>
      <c r="B69" s="493"/>
      <c r="C69" s="494"/>
      <c r="D69" s="494"/>
      <c r="E69" s="495"/>
      <c r="F69" s="500"/>
      <c r="G69" s="500"/>
      <c r="H69" s="500"/>
      <c r="I69" s="500"/>
      <c r="J69" s="488">
        <f t="shared" si="0"/>
        <v>0</v>
      </c>
    </row>
    <row r="70" spans="1:10" x14ac:dyDescent="0.25">
      <c r="A70" s="483">
        <v>62</v>
      </c>
      <c r="B70" s="493"/>
      <c r="C70" s="494"/>
      <c r="D70" s="494"/>
      <c r="E70" s="495"/>
      <c r="F70" s="500"/>
      <c r="G70" s="500"/>
      <c r="H70" s="500"/>
      <c r="I70" s="500"/>
      <c r="J70" s="488">
        <f t="shared" si="0"/>
        <v>0</v>
      </c>
    </row>
    <row r="71" spans="1:10" x14ac:dyDescent="0.25">
      <c r="A71" s="483">
        <v>63</v>
      </c>
      <c r="B71" s="493"/>
      <c r="C71" s="494"/>
      <c r="D71" s="494"/>
      <c r="E71" s="495"/>
      <c r="F71" s="500"/>
      <c r="G71" s="500"/>
      <c r="H71" s="500"/>
      <c r="I71" s="500"/>
      <c r="J71" s="488">
        <f t="shared" si="0"/>
        <v>0</v>
      </c>
    </row>
    <row r="72" spans="1:10" x14ac:dyDescent="0.25">
      <c r="A72" s="483">
        <v>64</v>
      </c>
      <c r="B72" s="493"/>
      <c r="C72" s="494"/>
      <c r="D72" s="494"/>
      <c r="E72" s="495"/>
      <c r="F72" s="500"/>
      <c r="G72" s="500"/>
      <c r="H72" s="500"/>
      <c r="I72" s="500"/>
      <c r="J72" s="488">
        <f t="shared" si="0"/>
        <v>0</v>
      </c>
    </row>
    <row r="73" spans="1:10" x14ac:dyDescent="0.25">
      <c r="A73" s="483">
        <v>65</v>
      </c>
      <c r="B73" s="493"/>
      <c r="C73" s="494"/>
      <c r="D73" s="494"/>
      <c r="E73" s="495"/>
      <c r="F73" s="500"/>
      <c r="G73" s="500"/>
      <c r="H73" s="500"/>
      <c r="I73" s="500"/>
      <c r="J73" s="488">
        <f t="shared" ref="J73:J98" si="1">SUM(F73:I73)</f>
        <v>0</v>
      </c>
    </row>
    <row r="74" spans="1:10" x14ac:dyDescent="0.25">
      <c r="A74" s="483">
        <v>66</v>
      </c>
      <c r="B74" s="493"/>
      <c r="C74" s="494"/>
      <c r="D74" s="494"/>
      <c r="E74" s="495"/>
      <c r="F74" s="500"/>
      <c r="G74" s="500"/>
      <c r="H74" s="500"/>
      <c r="I74" s="500"/>
      <c r="J74" s="488">
        <f t="shared" si="1"/>
        <v>0</v>
      </c>
    </row>
    <row r="75" spans="1:10" x14ac:dyDescent="0.25">
      <c r="A75" s="483">
        <v>67</v>
      </c>
      <c r="B75" s="493"/>
      <c r="C75" s="494"/>
      <c r="D75" s="494"/>
      <c r="E75" s="495"/>
      <c r="F75" s="500"/>
      <c r="G75" s="500"/>
      <c r="H75" s="500"/>
      <c r="I75" s="500"/>
      <c r="J75" s="488">
        <f t="shared" si="1"/>
        <v>0</v>
      </c>
    </row>
    <row r="76" spans="1:10" x14ac:dyDescent="0.25">
      <c r="A76" s="483">
        <v>68</v>
      </c>
      <c r="B76" s="493"/>
      <c r="C76" s="494"/>
      <c r="D76" s="494"/>
      <c r="E76" s="495"/>
      <c r="F76" s="500"/>
      <c r="G76" s="500"/>
      <c r="H76" s="500"/>
      <c r="I76" s="500"/>
      <c r="J76" s="488">
        <f t="shared" si="1"/>
        <v>0</v>
      </c>
    </row>
    <row r="77" spans="1:10" x14ac:dyDescent="0.25">
      <c r="A77" s="483">
        <v>69</v>
      </c>
      <c r="B77" s="493"/>
      <c r="C77" s="494"/>
      <c r="D77" s="494"/>
      <c r="E77" s="495"/>
      <c r="F77" s="500"/>
      <c r="G77" s="500"/>
      <c r="H77" s="500"/>
      <c r="I77" s="500"/>
      <c r="J77" s="488">
        <f t="shared" si="1"/>
        <v>0</v>
      </c>
    </row>
    <row r="78" spans="1:10" x14ac:dyDescent="0.25">
      <c r="A78" s="483">
        <v>70</v>
      </c>
      <c r="B78" s="493"/>
      <c r="C78" s="494"/>
      <c r="D78" s="494"/>
      <c r="E78" s="495"/>
      <c r="F78" s="500"/>
      <c r="G78" s="500"/>
      <c r="H78" s="500"/>
      <c r="I78" s="500"/>
      <c r="J78" s="488">
        <f t="shared" si="1"/>
        <v>0</v>
      </c>
    </row>
    <row r="79" spans="1:10" x14ac:dyDescent="0.25">
      <c r="A79" s="483">
        <v>71</v>
      </c>
      <c r="B79" s="493"/>
      <c r="C79" s="494"/>
      <c r="D79" s="494"/>
      <c r="E79" s="495"/>
      <c r="F79" s="500"/>
      <c r="G79" s="500"/>
      <c r="H79" s="500"/>
      <c r="I79" s="500"/>
      <c r="J79" s="488">
        <f t="shared" si="1"/>
        <v>0</v>
      </c>
    </row>
    <row r="80" spans="1:10" x14ac:dyDescent="0.25">
      <c r="A80" s="483">
        <v>72</v>
      </c>
      <c r="B80" s="493"/>
      <c r="C80" s="494"/>
      <c r="D80" s="494"/>
      <c r="E80" s="495"/>
      <c r="F80" s="500"/>
      <c r="G80" s="500"/>
      <c r="H80" s="500"/>
      <c r="I80" s="500"/>
      <c r="J80" s="488">
        <f t="shared" si="1"/>
        <v>0</v>
      </c>
    </row>
    <row r="81" spans="1:10" x14ac:dyDescent="0.25">
      <c r="A81" s="483">
        <v>73</v>
      </c>
      <c r="B81" s="493"/>
      <c r="C81" s="494"/>
      <c r="D81" s="494"/>
      <c r="E81" s="495"/>
      <c r="F81" s="500"/>
      <c r="G81" s="500"/>
      <c r="H81" s="500"/>
      <c r="I81" s="500"/>
      <c r="J81" s="488">
        <f t="shared" si="1"/>
        <v>0</v>
      </c>
    </row>
    <row r="82" spans="1:10" x14ac:dyDescent="0.25">
      <c r="A82" s="483">
        <v>74</v>
      </c>
      <c r="B82" s="493"/>
      <c r="C82" s="494"/>
      <c r="D82" s="494"/>
      <c r="E82" s="495"/>
      <c r="F82" s="500"/>
      <c r="G82" s="500"/>
      <c r="H82" s="500"/>
      <c r="I82" s="500"/>
      <c r="J82" s="488">
        <f t="shared" si="1"/>
        <v>0</v>
      </c>
    </row>
    <row r="83" spans="1:10" x14ac:dyDescent="0.25">
      <c r="A83" s="483">
        <v>75</v>
      </c>
      <c r="B83" s="493"/>
      <c r="C83" s="494"/>
      <c r="D83" s="494"/>
      <c r="E83" s="495"/>
      <c r="F83" s="500"/>
      <c r="G83" s="500"/>
      <c r="H83" s="500"/>
      <c r="I83" s="500"/>
      <c r="J83" s="488">
        <f t="shared" si="1"/>
        <v>0</v>
      </c>
    </row>
    <row r="84" spans="1:10" x14ac:dyDescent="0.25">
      <c r="A84" s="483">
        <v>76</v>
      </c>
      <c r="B84" s="493"/>
      <c r="C84" s="494"/>
      <c r="D84" s="494"/>
      <c r="E84" s="495"/>
      <c r="F84" s="500"/>
      <c r="G84" s="500"/>
      <c r="H84" s="500"/>
      <c r="I84" s="500"/>
      <c r="J84" s="488">
        <f t="shared" si="1"/>
        <v>0</v>
      </c>
    </row>
    <row r="85" spans="1:10" x14ac:dyDescent="0.25">
      <c r="A85" s="483">
        <v>77</v>
      </c>
      <c r="B85" s="493"/>
      <c r="C85" s="494"/>
      <c r="D85" s="494"/>
      <c r="E85" s="495"/>
      <c r="F85" s="500"/>
      <c r="G85" s="500"/>
      <c r="H85" s="500"/>
      <c r="I85" s="500"/>
      <c r="J85" s="488">
        <f t="shared" si="1"/>
        <v>0</v>
      </c>
    </row>
    <row r="86" spans="1:10" x14ac:dyDescent="0.25">
      <c r="A86" s="483">
        <v>78</v>
      </c>
      <c r="B86" s="493"/>
      <c r="C86" s="494"/>
      <c r="D86" s="494"/>
      <c r="E86" s="495"/>
      <c r="F86" s="500"/>
      <c r="G86" s="500"/>
      <c r="H86" s="500"/>
      <c r="I86" s="500"/>
      <c r="J86" s="488">
        <f t="shared" si="1"/>
        <v>0</v>
      </c>
    </row>
    <row r="87" spans="1:10" x14ac:dyDescent="0.25">
      <c r="A87" s="483">
        <v>79</v>
      </c>
      <c r="B87" s="493"/>
      <c r="C87" s="494"/>
      <c r="D87" s="494"/>
      <c r="E87" s="495"/>
      <c r="F87" s="500"/>
      <c r="G87" s="500"/>
      <c r="H87" s="500"/>
      <c r="I87" s="500"/>
      <c r="J87" s="488">
        <f t="shared" si="1"/>
        <v>0</v>
      </c>
    </row>
    <row r="88" spans="1:10" x14ac:dyDescent="0.25">
      <c r="A88" s="483">
        <v>80</v>
      </c>
      <c r="B88" s="493"/>
      <c r="C88" s="494"/>
      <c r="D88" s="494"/>
      <c r="E88" s="495"/>
      <c r="F88" s="500"/>
      <c r="G88" s="500"/>
      <c r="H88" s="500"/>
      <c r="I88" s="500"/>
      <c r="J88" s="488">
        <f t="shared" si="1"/>
        <v>0</v>
      </c>
    </row>
    <row r="89" spans="1:10" x14ac:dyDescent="0.25">
      <c r="A89" s="483">
        <v>81</v>
      </c>
      <c r="B89" s="493"/>
      <c r="C89" s="494"/>
      <c r="D89" s="494"/>
      <c r="E89" s="495"/>
      <c r="F89" s="500"/>
      <c r="G89" s="500"/>
      <c r="H89" s="500"/>
      <c r="I89" s="500"/>
      <c r="J89" s="488">
        <f t="shared" si="1"/>
        <v>0</v>
      </c>
    </row>
    <row r="90" spans="1:10" x14ac:dyDescent="0.25">
      <c r="A90" s="483">
        <v>82</v>
      </c>
      <c r="B90" s="493"/>
      <c r="C90" s="494"/>
      <c r="D90" s="494"/>
      <c r="E90" s="495"/>
      <c r="F90" s="500"/>
      <c r="G90" s="500"/>
      <c r="H90" s="500"/>
      <c r="I90" s="500"/>
      <c r="J90" s="488">
        <f t="shared" si="1"/>
        <v>0</v>
      </c>
    </row>
    <row r="91" spans="1:10" x14ac:dyDescent="0.25">
      <c r="A91" s="483">
        <v>83</v>
      </c>
      <c r="B91" s="493"/>
      <c r="C91" s="494"/>
      <c r="D91" s="494"/>
      <c r="E91" s="495"/>
      <c r="F91" s="500"/>
      <c r="G91" s="500"/>
      <c r="H91" s="500"/>
      <c r="I91" s="500"/>
      <c r="J91" s="488">
        <f t="shared" si="1"/>
        <v>0</v>
      </c>
    </row>
    <row r="92" spans="1:10" x14ac:dyDescent="0.25">
      <c r="A92" s="483">
        <v>84</v>
      </c>
      <c r="B92" s="493"/>
      <c r="C92" s="494"/>
      <c r="D92" s="494"/>
      <c r="E92" s="495"/>
      <c r="F92" s="500"/>
      <c r="G92" s="500"/>
      <c r="H92" s="500"/>
      <c r="I92" s="500"/>
      <c r="J92" s="488">
        <f t="shared" si="1"/>
        <v>0</v>
      </c>
    </row>
    <row r="93" spans="1:10" x14ac:dyDescent="0.25">
      <c r="A93" s="483">
        <v>85</v>
      </c>
      <c r="B93" s="493"/>
      <c r="C93" s="494"/>
      <c r="D93" s="494"/>
      <c r="E93" s="495"/>
      <c r="F93" s="500"/>
      <c r="G93" s="500"/>
      <c r="H93" s="500"/>
      <c r="I93" s="500"/>
      <c r="J93" s="488">
        <f t="shared" si="1"/>
        <v>0</v>
      </c>
    </row>
    <row r="94" spans="1:10" x14ac:dyDescent="0.25">
      <c r="A94" s="483">
        <v>86</v>
      </c>
      <c r="B94" s="493"/>
      <c r="C94" s="494"/>
      <c r="D94" s="494"/>
      <c r="E94" s="495"/>
      <c r="F94" s="500"/>
      <c r="G94" s="500"/>
      <c r="H94" s="500"/>
      <c r="I94" s="500"/>
      <c r="J94" s="488">
        <f t="shared" si="1"/>
        <v>0</v>
      </c>
    </row>
    <row r="95" spans="1:10" x14ac:dyDescent="0.25">
      <c r="A95" s="483">
        <v>87</v>
      </c>
      <c r="B95" s="493"/>
      <c r="C95" s="494"/>
      <c r="D95" s="494"/>
      <c r="E95" s="495"/>
      <c r="F95" s="500"/>
      <c r="G95" s="500"/>
      <c r="H95" s="500"/>
      <c r="I95" s="500"/>
      <c r="J95" s="488">
        <f t="shared" si="1"/>
        <v>0</v>
      </c>
    </row>
    <row r="96" spans="1:10" x14ac:dyDescent="0.25">
      <c r="A96" s="483">
        <v>88</v>
      </c>
      <c r="B96" s="493"/>
      <c r="C96" s="494"/>
      <c r="D96" s="494"/>
      <c r="E96" s="495"/>
      <c r="F96" s="500"/>
      <c r="G96" s="500"/>
      <c r="H96" s="500"/>
      <c r="I96" s="500"/>
      <c r="J96" s="488">
        <f t="shared" si="1"/>
        <v>0</v>
      </c>
    </row>
    <row r="97" spans="1:10" x14ac:dyDescent="0.25">
      <c r="A97" s="483">
        <v>89</v>
      </c>
      <c r="B97" s="493"/>
      <c r="C97" s="494"/>
      <c r="D97" s="494"/>
      <c r="E97" s="495"/>
      <c r="F97" s="500"/>
      <c r="G97" s="500"/>
      <c r="H97" s="500"/>
      <c r="I97" s="500"/>
      <c r="J97" s="488">
        <f t="shared" si="1"/>
        <v>0</v>
      </c>
    </row>
    <row r="98" spans="1:10" ht="13.8" thickBot="1" x14ac:dyDescent="0.3">
      <c r="A98" s="484">
        <v>90</v>
      </c>
      <c r="B98" s="496"/>
      <c r="C98" s="497"/>
      <c r="D98" s="497"/>
      <c r="E98" s="498"/>
      <c r="F98" s="501"/>
      <c r="G98" s="501"/>
      <c r="H98" s="501"/>
      <c r="I98" s="501"/>
      <c r="J98" s="489">
        <f t="shared" si="1"/>
        <v>0</v>
      </c>
    </row>
    <row r="99" spans="1:10" ht="7.5" customHeight="1" thickBot="1" x14ac:dyDescent="0.3">
      <c r="A99" s="479"/>
      <c r="B99" s="479"/>
      <c r="C99" s="479"/>
      <c r="D99" s="479"/>
      <c r="E99" s="479"/>
      <c r="F99" s="485"/>
      <c r="G99" s="485"/>
      <c r="H99" s="485"/>
      <c r="I99" s="485"/>
      <c r="J99" s="479"/>
    </row>
    <row r="100" spans="1:10" ht="13.8" thickBot="1" x14ac:dyDescent="0.3">
      <c r="A100" s="479"/>
      <c r="B100" s="479"/>
      <c r="C100" s="479"/>
      <c r="D100" s="479"/>
      <c r="E100" s="503" t="s">
        <v>518</v>
      </c>
      <c r="F100" s="502">
        <f>SUM(F9:F98)</f>
        <v>0</v>
      </c>
      <c r="G100" s="502">
        <f>SUM(G9:G98)</f>
        <v>0</v>
      </c>
      <c r="H100" s="502">
        <f>SUM(H9:H98)</f>
        <v>0</v>
      </c>
      <c r="I100" s="502">
        <f>SUM(I9:I98)</f>
        <v>0</v>
      </c>
      <c r="J100" s="502">
        <f>SUM(J9:J98)</f>
        <v>0</v>
      </c>
    </row>
  </sheetData>
  <sheetProtection algorithmName="SHA-512" hashValue="jIw+mfH5GRsCnvw2bMdhkLEs1jCNTCsFjbZGxS3H4k4wHwpdvk3V8Sqt0mXEGq+mg3H9hl4jeDay8sRVG8fQ8w==" saltValue="TTiSblxyOcYI3oSPOBJyYw==" spinCount="100000" sheet="1" formatColumns="0" formatRows="0" insertRows="0"/>
  <protectedRanges>
    <protectedRange sqref="C9:C99" name="Range4"/>
    <protectedRange sqref="F9:I99" name="Range1"/>
  </protectedRanges>
  <dataValidations count="1">
    <dataValidation type="list" allowBlank="1" showInputMessage="1" showErrorMessage="1" sqref="D99:E99" xr:uid="{00000000-0002-0000-1300-000000000000}">
      <formula1>#REF!</formula1>
    </dataValidation>
  </dataValidations>
  <pageMargins left="0.7" right="0.7" top="0.75" bottom="0.75" header="0.3" footer="0.3"/>
  <pageSetup scale="54" orientation="portrait" r:id="rId1"/>
  <headerFooter>
    <oddFooter>&amp;CPage &amp;P of &amp;N&amp;R&amp;D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300-000001000000}">
          <x14:formula1>
            <xm:f>'Schedule 1_Enrollment'!$C$12:$C$14</xm:f>
          </x14:formula1>
          <xm:sqref>D9:D98</xm:sqref>
        </x14:dataValidation>
        <x14:dataValidation type="list" allowBlank="1" showInputMessage="1" showErrorMessage="1" xr:uid="{00000000-0002-0000-1300-000002000000}">
          <x14:formula1>
            <xm:f>'Schedule 3A_Income Statement'!$A$35:$A$61</xm:f>
          </x14:formula1>
          <xm:sqref>E9:E98</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sheetPr>
  <dimension ref="A1:DJ47"/>
  <sheetViews>
    <sheetView zoomScale="60" zoomScaleNormal="60" workbookViewId="0">
      <selection activeCell="H23" sqref="H23"/>
    </sheetView>
  </sheetViews>
  <sheetFormatPr defaultColWidth="8" defaultRowHeight="13.2" x14ac:dyDescent="0.25"/>
  <cols>
    <col min="1" max="1" width="6.5546875" style="507" bestFit="1" customWidth="1"/>
    <col min="2" max="2" width="24.5546875" style="516" customWidth="1"/>
    <col min="3" max="3" width="16.5546875" style="516" customWidth="1"/>
    <col min="4" max="28" width="16.5546875" style="506" customWidth="1"/>
    <col min="29" max="32" width="16.5546875" style="507" customWidth="1"/>
    <col min="33" max="33" width="23.44140625" style="507" bestFit="1" customWidth="1"/>
    <col min="34" max="34" width="16.5546875" style="507" customWidth="1"/>
    <col min="35" max="16384" width="8" style="507"/>
  </cols>
  <sheetData>
    <row r="1" spans="1:114" s="509" customFormat="1" ht="15.6" x14ac:dyDescent="0.3">
      <c r="A1" s="475" t="s">
        <v>1302</v>
      </c>
      <c r="B1" s="504"/>
      <c r="C1" s="505"/>
      <c r="D1" s="478"/>
      <c r="E1" s="505"/>
      <c r="F1" s="505"/>
      <c r="G1" s="506"/>
      <c r="H1" s="506"/>
      <c r="I1" s="506"/>
      <c r="J1" s="506"/>
      <c r="K1" s="506"/>
      <c r="L1" s="506"/>
      <c r="M1" s="506"/>
      <c r="N1" s="506"/>
      <c r="O1" s="506"/>
      <c r="P1" s="506"/>
      <c r="Q1" s="506"/>
      <c r="R1" s="506"/>
      <c r="S1" s="506"/>
      <c r="T1" s="506"/>
      <c r="U1" s="506"/>
      <c r="V1" s="506"/>
      <c r="W1" s="506"/>
      <c r="X1" s="506"/>
      <c r="Y1" s="506"/>
      <c r="Z1" s="506"/>
      <c r="AA1" s="506"/>
      <c r="AB1" s="507"/>
      <c r="AC1" s="508"/>
      <c r="AD1" s="508"/>
      <c r="AE1" s="508"/>
      <c r="AF1" s="508"/>
      <c r="AG1" s="508"/>
      <c r="AH1" s="508"/>
      <c r="AI1" s="508"/>
      <c r="AJ1" s="508"/>
      <c r="AK1" s="508"/>
      <c r="AL1" s="508"/>
      <c r="AM1" s="508"/>
      <c r="AN1" s="508"/>
      <c r="AO1" s="508"/>
      <c r="AP1" s="508"/>
      <c r="AQ1" s="508"/>
      <c r="AR1" s="508"/>
      <c r="AS1" s="508"/>
      <c r="AT1" s="508"/>
      <c r="AU1" s="508"/>
      <c r="AV1" s="508"/>
      <c r="AW1" s="508"/>
      <c r="AX1" s="508"/>
      <c r="AY1" s="508"/>
      <c r="AZ1" s="508"/>
      <c r="BA1" s="508"/>
      <c r="BB1" s="508"/>
      <c r="BC1" s="508"/>
      <c r="BD1" s="508"/>
      <c r="BE1" s="508"/>
      <c r="BF1" s="508"/>
      <c r="BG1" s="508"/>
      <c r="BH1" s="508"/>
      <c r="BI1" s="508"/>
      <c r="BJ1" s="508"/>
      <c r="BK1" s="508"/>
      <c r="BL1" s="508"/>
      <c r="BM1" s="508"/>
      <c r="BN1" s="508"/>
      <c r="BO1" s="508"/>
      <c r="BP1" s="508"/>
      <c r="BQ1" s="508"/>
      <c r="BR1" s="508"/>
      <c r="BS1" s="508"/>
      <c r="BT1" s="508"/>
      <c r="BU1" s="508"/>
      <c r="BV1" s="508"/>
      <c r="BW1" s="508"/>
      <c r="BX1" s="508"/>
      <c r="BY1" s="508"/>
      <c r="BZ1" s="508"/>
      <c r="CA1" s="508"/>
      <c r="CB1" s="508"/>
      <c r="CC1" s="508"/>
      <c r="CD1" s="508"/>
      <c r="CE1" s="508"/>
      <c r="CF1" s="508"/>
      <c r="CG1" s="508"/>
      <c r="CH1" s="508"/>
      <c r="CI1" s="508"/>
      <c r="CJ1" s="508"/>
      <c r="CK1" s="508"/>
      <c r="CL1" s="508"/>
      <c r="CM1" s="508"/>
      <c r="CN1" s="508"/>
      <c r="CO1" s="508"/>
      <c r="CP1" s="508"/>
      <c r="CQ1" s="508"/>
      <c r="CR1" s="508"/>
      <c r="CS1" s="508"/>
      <c r="CT1" s="508"/>
      <c r="CU1" s="508"/>
      <c r="CV1" s="508"/>
      <c r="CW1" s="508"/>
      <c r="CX1" s="508"/>
      <c r="CY1" s="508"/>
      <c r="CZ1" s="508"/>
      <c r="DA1" s="508"/>
      <c r="DB1" s="508"/>
      <c r="DC1" s="508"/>
      <c r="DD1" s="508"/>
      <c r="DE1" s="508"/>
      <c r="DF1" s="508"/>
      <c r="DG1" s="508"/>
      <c r="DH1" s="508"/>
      <c r="DI1" s="508"/>
      <c r="DJ1" s="508"/>
    </row>
    <row r="2" spans="1:114" s="509" customFormat="1" x14ac:dyDescent="0.25">
      <c r="A2" s="201" t="s">
        <v>26</v>
      </c>
      <c r="B2" s="201"/>
      <c r="C2" s="445" t="str">
        <f>'Schedule 2_Balance Sheet'!C2</f>
        <v>Tufts Associated Health Plans, Inc. (TAHMO)</v>
      </c>
      <c r="D2" s="446"/>
      <c r="E2" s="446"/>
      <c r="F2" s="447"/>
      <c r="G2" s="506"/>
      <c r="H2" s="506"/>
      <c r="I2" s="506"/>
      <c r="J2" s="506"/>
      <c r="K2" s="506"/>
      <c r="L2" s="506"/>
      <c r="M2" s="506"/>
      <c r="N2" s="506"/>
      <c r="O2" s="506"/>
      <c r="P2" s="506"/>
      <c r="Q2" s="506"/>
      <c r="R2" s="506"/>
      <c r="S2" s="506"/>
      <c r="T2" s="506"/>
      <c r="U2" s="506"/>
      <c r="V2" s="506"/>
      <c r="W2" s="506"/>
      <c r="X2" s="506"/>
      <c r="Y2" s="506"/>
      <c r="Z2" s="506"/>
      <c r="AA2" s="506"/>
      <c r="AB2" s="507"/>
      <c r="AC2" s="508"/>
      <c r="AD2" s="508"/>
      <c r="AE2" s="508"/>
      <c r="AF2" s="508"/>
      <c r="AG2" s="508"/>
      <c r="AH2" s="508"/>
      <c r="AI2" s="508"/>
      <c r="AJ2" s="508"/>
      <c r="AK2" s="508"/>
      <c r="AL2" s="508"/>
      <c r="AM2" s="508"/>
      <c r="AN2" s="508"/>
      <c r="AO2" s="508"/>
      <c r="AP2" s="508"/>
      <c r="AQ2" s="508"/>
      <c r="AR2" s="508"/>
      <c r="AS2" s="508"/>
      <c r="AT2" s="508"/>
      <c r="AU2" s="508"/>
      <c r="AV2" s="508"/>
      <c r="AW2" s="508"/>
      <c r="AX2" s="508"/>
      <c r="AY2" s="508"/>
      <c r="AZ2" s="508"/>
      <c r="BA2" s="508"/>
      <c r="BB2" s="508"/>
      <c r="BC2" s="508"/>
      <c r="BD2" s="508"/>
      <c r="BE2" s="508"/>
      <c r="BF2" s="508"/>
      <c r="BG2" s="508"/>
      <c r="BH2" s="508"/>
      <c r="BI2" s="508"/>
      <c r="BJ2" s="508"/>
      <c r="BK2" s="508"/>
      <c r="BL2" s="508"/>
      <c r="BM2" s="508"/>
      <c r="BN2" s="508"/>
      <c r="BO2" s="508"/>
      <c r="BP2" s="508"/>
      <c r="BQ2" s="508"/>
      <c r="BR2" s="508"/>
      <c r="BS2" s="508"/>
      <c r="BT2" s="508"/>
      <c r="BU2" s="508"/>
      <c r="BV2" s="508"/>
      <c r="BW2" s="508"/>
      <c r="BX2" s="508"/>
      <c r="BY2" s="508"/>
      <c r="BZ2" s="508"/>
      <c r="CA2" s="508"/>
      <c r="CB2" s="508"/>
      <c r="CC2" s="508"/>
      <c r="CD2" s="508"/>
      <c r="CE2" s="508"/>
      <c r="CF2" s="508"/>
      <c r="CG2" s="508"/>
      <c r="CH2" s="508"/>
      <c r="CI2" s="508"/>
      <c r="CJ2" s="508"/>
      <c r="CK2" s="508"/>
      <c r="CL2" s="508"/>
      <c r="CM2" s="508"/>
      <c r="CN2" s="508"/>
      <c r="CO2" s="508"/>
      <c r="CP2" s="508"/>
      <c r="CQ2" s="508"/>
      <c r="CR2" s="508"/>
      <c r="CS2" s="508"/>
      <c r="CT2" s="508"/>
      <c r="CU2" s="508"/>
      <c r="CV2" s="508"/>
      <c r="CW2" s="508"/>
      <c r="CX2" s="508"/>
      <c r="CY2" s="508"/>
      <c r="CZ2" s="508"/>
      <c r="DA2" s="508"/>
      <c r="DB2" s="508"/>
      <c r="DC2" s="508"/>
      <c r="DD2" s="508"/>
      <c r="DE2" s="508"/>
      <c r="DF2" s="508"/>
      <c r="DG2" s="508"/>
      <c r="DH2" s="508"/>
      <c r="DI2" s="508"/>
      <c r="DJ2" s="508"/>
    </row>
    <row r="3" spans="1:114" s="509" customFormat="1" x14ac:dyDescent="0.25">
      <c r="A3" s="201" t="s">
        <v>0</v>
      </c>
      <c r="B3" s="201"/>
      <c r="C3" s="580" t="str">
        <f>'Schedule 2_Balance Sheet'!C3</f>
        <v>01/01/2024 - 12/31/2024</v>
      </c>
      <c r="D3" s="581"/>
      <c r="E3" s="581"/>
      <c r="F3" s="582"/>
      <c r="G3" s="506"/>
      <c r="H3" s="506"/>
      <c r="I3" s="506"/>
      <c r="J3" s="506"/>
      <c r="K3" s="506"/>
      <c r="L3" s="506"/>
      <c r="M3" s="506"/>
      <c r="N3" s="506"/>
      <c r="O3" s="506"/>
      <c r="P3" s="506"/>
      <c r="Q3" s="506"/>
      <c r="R3" s="506"/>
      <c r="S3" s="506"/>
      <c r="T3" s="506"/>
      <c r="U3" s="506"/>
      <c r="V3" s="506"/>
      <c r="W3" s="506"/>
      <c r="X3" s="506"/>
      <c r="Y3" s="506"/>
      <c r="Z3" s="506"/>
      <c r="AA3" s="506"/>
      <c r="AB3" s="507"/>
      <c r="AC3" s="508"/>
      <c r="AD3" s="508"/>
      <c r="AE3" s="508"/>
      <c r="AF3" s="508"/>
      <c r="AG3" s="508"/>
      <c r="AH3" s="508"/>
      <c r="AI3" s="508"/>
      <c r="AJ3" s="508"/>
      <c r="AK3" s="508"/>
      <c r="AL3" s="508"/>
      <c r="AM3" s="508"/>
      <c r="AN3" s="508"/>
      <c r="AO3" s="508"/>
      <c r="AP3" s="508"/>
      <c r="AQ3" s="508"/>
      <c r="AR3" s="508"/>
      <c r="AS3" s="508"/>
      <c r="AT3" s="508"/>
      <c r="AU3" s="508"/>
      <c r="AV3" s="508"/>
      <c r="AW3" s="508"/>
      <c r="AX3" s="508"/>
      <c r="AY3" s="508"/>
      <c r="AZ3" s="508"/>
      <c r="BA3" s="508"/>
      <c r="BB3" s="508"/>
      <c r="BC3" s="508"/>
      <c r="BD3" s="508"/>
      <c r="BE3" s="508"/>
      <c r="BF3" s="508"/>
      <c r="BG3" s="508"/>
      <c r="BH3" s="508"/>
      <c r="BI3" s="508"/>
      <c r="BJ3" s="508"/>
      <c r="BK3" s="508"/>
      <c r="BL3" s="508"/>
      <c r="BM3" s="508"/>
      <c r="BN3" s="508"/>
      <c r="BO3" s="508"/>
      <c r="BP3" s="508"/>
      <c r="BQ3" s="508"/>
      <c r="BR3" s="508"/>
      <c r="BS3" s="508"/>
      <c r="BT3" s="508"/>
      <c r="BU3" s="508"/>
      <c r="BV3" s="508"/>
      <c r="BW3" s="508"/>
      <c r="BX3" s="508"/>
      <c r="BY3" s="508"/>
      <c r="BZ3" s="508"/>
      <c r="CA3" s="508"/>
      <c r="CB3" s="508"/>
      <c r="CC3" s="508"/>
      <c r="CD3" s="508"/>
      <c r="CE3" s="508"/>
      <c r="CF3" s="508"/>
      <c r="CG3" s="508"/>
      <c r="CH3" s="508"/>
      <c r="CI3" s="508"/>
      <c r="CJ3" s="508"/>
      <c r="CK3" s="508"/>
      <c r="CL3" s="508"/>
      <c r="CM3" s="508"/>
      <c r="CN3" s="508"/>
      <c r="CO3" s="508"/>
      <c r="CP3" s="508"/>
      <c r="CQ3" s="508"/>
      <c r="CR3" s="508"/>
      <c r="CS3" s="508"/>
      <c r="CT3" s="508"/>
      <c r="CU3" s="508"/>
      <c r="CV3" s="508"/>
      <c r="CW3" s="508"/>
      <c r="CX3" s="508"/>
      <c r="CY3" s="508"/>
      <c r="CZ3" s="508"/>
      <c r="DA3" s="508"/>
      <c r="DB3" s="508"/>
      <c r="DC3" s="508"/>
      <c r="DD3" s="508"/>
      <c r="DE3" s="508"/>
      <c r="DF3" s="508"/>
      <c r="DG3" s="508"/>
      <c r="DH3" s="508"/>
      <c r="DI3" s="508"/>
      <c r="DJ3" s="508"/>
    </row>
    <row r="4" spans="1:114" s="509" customFormat="1" x14ac:dyDescent="0.25">
      <c r="A4" s="201" t="s">
        <v>27</v>
      </c>
      <c r="B4" s="201"/>
      <c r="C4" s="449">
        <f>'Schedule 2_Balance Sheet'!C4</f>
        <v>45657</v>
      </c>
      <c r="D4" s="446"/>
      <c r="E4" s="446"/>
      <c r="F4" s="447"/>
      <c r="G4" s="506"/>
      <c r="H4" s="506"/>
      <c r="I4" s="506"/>
      <c r="J4" s="506"/>
      <c r="K4" s="506"/>
      <c r="L4" s="506"/>
      <c r="M4" s="506"/>
      <c r="N4" s="506"/>
      <c r="O4" s="506"/>
      <c r="P4" s="506"/>
      <c r="Q4" s="506"/>
      <c r="R4" s="506"/>
      <c r="S4" s="506"/>
      <c r="T4" s="506"/>
      <c r="U4" s="506"/>
      <c r="V4" s="506"/>
      <c r="W4" s="506"/>
      <c r="X4" s="506"/>
      <c r="Y4" s="506"/>
      <c r="Z4" s="506"/>
      <c r="AA4" s="506"/>
      <c r="AB4" s="507"/>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c r="CA4" s="508"/>
      <c r="CB4" s="508"/>
      <c r="CC4" s="508"/>
      <c r="CD4" s="508"/>
      <c r="CE4" s="508"/>
      <c r="CF4" s="508"/>
      <c r="CG4" s="508"/>
      <c r="CH4" s="508"/>
      <c r="CI4" s="508"/>
      <c r="CJ4" s="508"/>
      <c r="CK4" s="508"/>
      <c r="CL4" s="508"/>
      <c r="CM4" s="508"/>
      <c r="CN4" s="508"/>
      <c r="CO4" s="508"/>
      <c r="CP4" s="508"/>
      <c r="CQ4" s="508"/>
      <c r="CR4" s="508"/>
      <c r="CS4" s="508"/>
      <c r="CT4" s="508"/>
      <c r="CU4" s="508"/>
      <c r="CV4" s="508"/>
      <c r="CW4" s="508"/>
      <c r="CX4" s="508"/>
      <c r="CY4" s="508"/>
      <c r="CZ4" s="508"/>
      <c r="DA4" s="508"/>
      <c r="DB4" s="508"/>
      <c r="DC4" s="508"/>
      <c r="DD4" s="508"/>
      <c r="DE4" s="508"/>
      <c r="DF4" s="508"/>
      <c r="DG4" s="508"/>
      <c r="DH4" s="508"/>
      <c r="DI4" s="508"/>
      <c r="DJ4" s="508"/>
    </row>
    <row r="5" spans="1:114" s="509" customFormat="1" x14ac:dyDescent="0.25">
      <c r="A5" s="201" t="s">
        <v>28</v>
      </c>
      <c r="B5" s="201"/>
      <c r="C5" s="445" t="str">
        <f>'Schedule 2_Balance Sheet'!C5</f>
        <v>Roshni Parikh</v>
      </c>
      <c r="D5" s="446"/>
      <c r="E5" s="446"/>
      <c r="F5" s="447"/>
      <c r="G5" s="506"/>
      <c r="H5" s="506"/>
      <c r="I5" s="506"/>
      <c r="J5" s="506"/>
      <c r="K5" s="506"/>
      <c r="L5" s="506"/>
      <c r="M5" s="506"/>
      <c r="N5" s="506"/>
      <c r="O5" s="506"/>
      <c r="P5" s="506"/>
      <c r="Q5" s="506"/>
      <c r="R5" s="506"/>
      <c r="S5" s="506"/>
      <c r="T5" s="506"/>
      <c r="U5" s="506"/>
      <c r="V5" s="506"/>
      <c r="W5" s="506"/>
      <c r="X5" s="506"/>
      <c r="Y5" s="506"/>
      <c r="Z5" s="506"/>
      <c r="AA5" s="506"/>
      <c r="AB5" s="507"/>
      <c r="AC5" s="508"/>
      <c r="AD5" s="508"/>
      <c r="AE5" s="508"/>
      <c r="AF5" s="508"/>
      <c r="AG5" s="508"/>
      <c r="AH5" s="508"/>
      <c r="AI5" s="508"/>
      <c r="AJ5" s="508"/>
      <c r="AK5" s="508"/>
      <c r="AL5" s="508"/>
      <c r="AM5" s="508"/>
      <c r="AN5" s="508"/>
      <c r="AO5" s="508"/>
      <c r="AP5" s="508"/>
      <c r="AQ5" s="508"/>
      <c r="AR5" s="508"/>
      <c r="AS5" s="508"/>
      <c r="AT5" s="508"/>
      <c r="AU5" s="508"/>
      <c r="AV5" s="508"/>
      <c r="AW5" s="508"/>
      <c r="AX5" s="508"/>
      <c r="AY5" s="508"/>
      <c r="AZ5" s="508"/>
      <c r="BA5" s="508"/>
      <c r="BB5" s="508"/>
      <c r="BC5" s="508"/>
      <c r="BD5" s="508"/>
      <c r="BE5" s="508"/>
      <c r="BF5" s="508"/>
      <c r="BG5" s="508"/>
      <c r="BH5" s="508"/>
      <c r="BI5" s="508"/>
      <c r="BJ5" s="508"/>
      <c r="BK5" s="508"/>
      <c r="BL5" s="508"/>
      <c r="BM5" s="508"/>
      <c r="BN5" s="508"/>
      <c r="BO5" s="508"/>
      <c r="BP5" s="508"/>
      <c r="BQ5" s="508"/>
      <c r="BR5" s="508"/>
      <c r="BS5" s="508"/>
      <c r="BT5" s="508"/>
      <c r="BU5" s="508"/>
      <c r="BV5" s="508"/>
      <c r="BW5" s="508"/>
      <c r="BX5" s="508"/>
      <c r="BY5" s="508"/>
      <c r="BZ5" s="508"/>
      <c r="CA5" s="508"/>
      <c r="CB5" s="508"/>
      <c r="CC5" s="508"/>
      <c r="CD5" s="508"/>
      <c r="CE5" s="508"/>
      <c r="CF5" s="508"/>
      <c r="CG5" s="508"/>
      <c r="CH5" s="508"/>
      <c r="CI5" s="508"/>
      <c r="CJ5" s="508"/>
      <c r="CK5" s="508"/>
      <c r="CL5" s="508"/>
      <c r="CM5" s="508"/>
      <c r="CN5" s="508"/>
      <c r="CO5" s="508"/>
      <c r="CP5" s="508"/>
      <c r="CQ5" s="508"/>
      <c r="CR5" s="508"/>
      <c r="CS5" s="508"/>
      <c r="CT5" s="508"/>
      <c r="CU5" s="508"/>
      <c r="CV5" s="508"/>
      <c r="CW5" s="508"/>
      <c r="CX5" s="508"/>
      <c r="CY5" s="508"/>
      <c r="CZ5" s="508"/>
      <c r="DA5" s="508"/>
      <c r="DB5" s="508"/>
      <c r="DC5" s="508"/>
      <c r="DD5" s="508"/>
      <c r="DE5" s="508"/>
      <c r="DF5" s="508"/>
      <c r="DG5" s="508"/>
      <c r="DH5" s="508"/>
      <c r="DI5" s="508"/>
      <c r="DJ5" s="508"/>
    </row>
    <row r="6" spans="1:114" s="509" customFormat="1" x14ac:dyDescent="0.25">
      <c r="A6" s="201" t="s">
        <v>29</v>
      </c>
      <c r="B6" s="201"/>
      <c r="C6" s="449">
        <f>'Schedule 2_Balance Sheet'!C6</f>
        <v>45657</v>
      </c>
      <c r="D6" s="446"/>
      <c r="E6" s="446"/>
      <c r="F6" s="447"/>
      <c r="G6" s="506"/>
      <c r="H6" s="506"/>
      <c r="I6" s="506"/>
      <c r="J6" s="506"/>
      <c r="K6" s="506"/>
      <c r="L6" s="506"/>
      <c r="M6" s="506"/>
      <c r="N6" s="506"/>
      <c r="O6" s="506"/>
      <c r="P6" s="506"/>
      <c r="Q6" s="506"/>
      <c r="R6" s="506"/>
      <c r="S6" s="506"/>
      <c r="T6" s="506"/>
      <c r="U6" s="506"/>
      <c r="V6" s="506"/>
      <c r="W6" s="506"/>
      <c r="X6" s="506"/>
      <c r="Y6" s="506"/>
      <c r="Z6" s="506"/>
      <c r="AA6" s="506"/>
      <c r="AB6" s="507"/>
      <c r="AC6" s="508"/>
      <c r="AD6" s="508"/>
      <c r="AE6" s="508"/>
      <c r="AF6" s="508"/>
      <c r="AG6" s="508"/>
      <c r="AH6" s="508"/>
      <c r="AI6" s="508"/>
      <c r="AJ6" s="508"/>
      <c r="AK6" s="508"/>
      <c r="AL6" s="508"/>
      <c r="AM6" s="508"/>
      <c r="AN6" s="508"/>
      <c r="AO6" s="508"/>
      <c r="AP6" s="508"/>
      <c r="AQ6" s="508"/>
      <c r="AR6" s="508"/>
      <c r="AS6" s="508"/>
      <c r="AT6" s="508"/>
      <c r="AU6" s="508"/>
      <c r="AV6" s="508"/>
      <c r="AW6" s="508"/>
      <c r="AX6" s="508"/>
      <c r="AY6" s="508"/>
      <c r="AZ6" s="508"/>
      <c r="BA6" s="508"/>
      <c r="BB6" s="508"/>
      <c r="BC6" s="508"/>
      <c r="BD6" s="508"/>
      <c r="BE6" s="508"/>
      <c r="BF6" s="508"/>
      <c r="BG6" s="508"/>
      <c r="BH6" s="508"/>
      <c r="BI6" s="508"/>
      <c r="BJ6" s="508"/>
      <c r="BK6" s="508"/>
      <c r="BL6" s="508"/>
      <c r="BM6" s="508"/>
      <c r="BN6" s="508"/>
      <c r="BO6" s="508"/>
      <c r="BP6" s="508"/>
      <c r="BQ6" s="508"/>
      <c r="BR6" s="508"/>
      <c r="BS6" s="508"/>
      <c r="BT6" s="508"/>
      <c r="BU6" s="508"/>
      <c r="BV6" s="508"/>
      <c r="BW6" s="508"/>
      <c r="BX6" s="508"/>
      <c r="BY6" s="508"/>
      <c r="BZ6" s="508"/>
      <c r="CA6" s="508"/>
      <c r="CB6" s="508"/>
      <c r="CC6" s="508"/>
      <c r="CD6" s="508"/>
      <c r="CE6" s="508"/>
      <c r="CF6" s="508"/>
      <c r="CG6" s="508"/>
      <c r="CH6" s="508"/>
      <c r="CI6" s="508"/>
      <c r="CJ6" s="508"/>
      <c r="CK6" s="508"/>
      <c r="CL6" s="508"/>
      <c r="CM6" s="508"/>
      <c r="CN6" s="508"/>
      <c r="CO6" s="508"/>
      <c r="CP6" s="508"/>
      <c r="CQ6" s="508"/>
      <c r="CR6" s="508"/>
      <c r="CS6" s="508"/>
      <c r="CT6" s="508"/>
      <c r="CU6" s="508"/>
      <c r="CV6" s="508"/>
      <c r="CW6" s="508"/>
      <c r="CX6" s="508"/>
      <c r="CY6" s="508"/>
      <c r="CZ6" s="508"/>
      <c r="DA6" s="508"/>
      <c r="DB6" s="508"/>
      <c r="DC6" s="508"/>
      <c r="DD6" s="508"/>
      <c r="DE6" s="508"/>
      <c r="DF6" s="508"/>
      <c r="DG6" s="508"/>
      <c r="DH6" s="508"/>
      <c r="DI6" s="508"/>
      <c r="DJ6" s="508"/>
    </row>
    <row r="7" spans="1:114" s="509" customFormat="1" ht="13.8" thickBot="1" x14ac:dyDescent="0.3">
      <c r="A7" s="199" t="s">
        <v>542</v>
      </c>
      <c r="B7" s="387"/>
      <c r="C7" s="387"/>
      <c r="D7" s="387"/>
      <c r="E7" s="387"/>
      <c r="F7" s="387"/>
      <c r="G7" s="387"/>
      <c r="H7" s="387"/>
      <c r="I7" s="506"/>
      <c r="J7" s="506"/>
      <c r="K7" s="506"/>
      <c r="L7" s="506"/>
      <c r="M7" s="506"/>
      <c r="N7" s="506"/>
      <c r="O7" s="506"/>
      <c r="P7" s="506"/>
      <c r="Q7" s="506"/>
      <c r="R7" s="506"/>
      <c r="S7" s="506"/>
      <c r="T7" s="506"/>
      <c r="U7" s="506"/>
      <c r="V7" s="506"/>
      <c r="W7" s="506"/>
      <c r="X7" s="506"/>
      <c r="Y7" s="506"/>
      <c r="Z7" s="506"/>
      <c r="AA7" s="506"/>
      <c r="AB7" s="507"/>
      <c r="AC7" s="508"/>
      <c r="AD7" s="508"/>
      <c r="AE7" s="508"/>
      <c r="AF7" s="508"/>
      <c r="AG7" s="508"/>
      <c r="AH7" s="508"/>
      <c r="AI7" s="508"/>
      <c r="AJ7" s="508"/>
      <c r="AK7" s="508"/>
      <c r="AL7" s="508"/>
      <c r="AM7" s="508"/>
      <c r="AN7" s="508"/>
      <c r="AO7" s="508"/>
      <c r="AP7" s="508"/>
      <c r="AQ7" s="508"/>
      <c r="AR7" s="508"/>
      <c r="AS7" s="508"/>
      <c r="AT7" s="508"/>
      <c r="AU7" s="508"/>
      <c r="AV7" s="508"/>
      <c r="AW7" s="508"/>
      <c r="AX7" s="508"/>
      <c r="AY7" s="508"/>
      <c r="AZ7" s="508"/>
      <c r="BA7" s="508"/>
      <c r="BB7" s="508"/>
      <c r="BC7" s="508"/>
      <c r="BD7" s="508"/>
      <c r="BE7" s="508"/>
      <c r="BF7" s="508"/>
      <c r="BG7" s="508"/>
      <c r="BH7" s="508"/>
      <c r="BI7" s="508"/>
      <c r="BJ7" s="508"/>
      <c r="BK7" s="508"/>
      <c r="BL7" s="508"/>
      <c r="BM7" s="508"/>
      <c r="BN7" s="508"/>
      <c r="BO7" s="508"/>
      <c r="BP7" s="508"/>
      <c r="BQ7" s="508"/>
      <c r="BR7" s="508"/>
      <c r="BS7" s="508"/>
      <c r="BT7" s="508"/>
      <c r="BU7" s="508"/>
      <c r="BV7" s="508"/>
      <c r="BW7" s="508"/>
      <c r="BX7" s="508"/>
      <c r="BY7" s="508"/>
      <c r="BZ7" s="508"/>
      <c r="CA7" s="508"/>
      <c r="CB7" s="508"/>
      <c r="CC7" s="508"/>
      <c r="CD7" s="508"/>
      <c r="CE7" s="508"/>
      <c r="CF7" s="508"/>
      <c r="CG7" s="508"/>
      <c r="CH7" s="508"/>
      <c r="CI7" s="508"/>
      <c r="CJ7" s="508"/>
      <c r="CK7" s="508"/>
      <c r="CL7" s="508"/>
      <c r="CM7" s="508"/>
      <c r="CN7" s="508"/>
      <c r="CO7" s="508"/>
      <c r="CP7" s="508"/>
      <c r="CQ7" s="508"/>
      <c r="CR7" s="508"/>
      <c r="CS7" s="508"/>
      <c r="CT7" s="508"/>
      <c r="CU7" s="508"/>
      <c r="CV7" s="508"/>
      <c r="CW7" s="508"/>
      <c r="CX7" s="508"/>
      <c r="CY7" s="508"/>
      <c r="CZ7" s="508"/>
      <c r="DA7" s="508"/>
      <c r="DB7" s="508"/>
      <c r="DC7" s="508"/>
      <c r="DD7" s="508"/>
      <c r="DE7" s="508"/>
      <c r="DF7" s="508"/>
      <c r="DG7" s="508"/>
      <c r="DH7" s="508"/>
      <c r="DI7" s="508"/>
      <c r="DJ7" s="508"/>
    </row>
    <row r="8" spans="1:114" s="510" customFormat="1" ht="16.5" customHeight="1" thickBot="1" x14ac:dyDescent="0.3">
      <c r="A8" s="557"/>
      <c r="B8" s="558"/>
      <c r="C8" s="559" t="s">
        <v>519</v>
      </c>
      <c r="D8" s="559"/>
      <c r="E8" s="560"/>
      <c r="F8" s="560"/>
      <c r="G8" s="560"/>
      <c r="H8" s="559"/>
      <c r="I8" s="559"/>
      <c r="J8" s="560"/>
      <c r="K8" s="560"/>
      <c r="L8" s="561"/>
      <c r="M8" s="559" t="s">
        <v>519</v>
      </c>
      <c r="N8" s="559"/>
      <c r="O8" s="560"/>
      <c r="P8" s="561"/>
      <c r="Q8" s="560"/>
      <c r="R8" s="559"/>
      <c r="S8" s="559"/>
      <c r="T8" s="560"/>
      <c r="U8" s="560"/>
      <c r="V8" s="561"/>
      <c r="W8" s="559" t="s">
        <v>519</v>
      </c>
      <c r="X8" s="559"/>
      <c r="Y8" s="560"/>
      <c r="Z8" s="560"/>
      <c r="AA8" s="560"/>
      <c r="AB8" s="562"/>
      <c r="AC8" s="559"/>
      <c r="AD8" s="559"/>
      <c r="AE8" s="559"/>
      <c r="AF8" s="585"/>
      <c r="AG8" s="563"/>
      <c r="AH8" s="564"/>
    </row>
    <row r="9" spans="1:114" s="511" customFormat="1" ht="27" thickBot="1" x14ac:dyDescent="0.3">
      <c r="A9" s="553" t="s">
        <v>226</v>
      </c>
      <c r="B9" s="554" t="s">
        <v>520</v>
      </c>
      <c r="C9" s="545">
        <f t="array" ref="C9:AF9">TRANSPOSE(B10:B39)</f>
        <v>45688</v>
      </c>
      <c r="D9" s="546">
        <v>45657</v>
      </c>
      <c r="E9" s="546">
        <v>45626</v>
      </c>
      <c r="F9" s="546">
        <v>45596</v>
      </c>
      <c r="G9" s="546">
        <v>45565</v>
      </c>
      <c r="H9" s="546">
        <v>45535</v>
      </c>
      <c r="I9" s="546">
        <v>45504</v>
      </c>
      <c r="J9" s="546">
        <v>45473</v>
      </c>
      <c r="K9" s="546">
        <v>45443</v>
      </c>
      <c r="L9" s="546">
        <v>45412</v>
      </c>
      <c r="M9" s="546">
        <v>45382</v>
      </c>
      <c r="N9" s="546">
        <v>45351</v>
      </c>
      <c r="O9" s="547">
        <v>45322</v>
      </c>
      <c r="P9" s="546">
        <v>45291</v>
      </c>
      <c r="Q9" s="547">
        <v>45260</v>
      </c>
      <c r="R9" s="546">
        <v>45230</v>
      </c>
      <c r="S9" s="547">
        <v>45199</v>
      </c>
      <c r="T9" s="547">
        <v>45169</v>
      </c>
      <c r="U9" s="547">
        <v>45138</v>
      </c>
      <c r="V9" s="546">
        <v>45107</v>
      </c>
      <c r="W9" s="547">
        <v>45077</v>
      </c>
      <c r="X9" s="547">
        <v>45046</v>
      </c>
      <c r="Y9" s="547">
        <v>45016</v>
      </c>
      <c r="Z9" s="546">
        <v>44985</v>
      </c>
      <c r="AA9" s="547">
        <v>44957</v>
      </c>
      <c r="AB9" s="546">
        <v>44926</v>
      </c>
      <c r="AC9" s="547">
        <v>44895</v>
      </c>
      <c r="AD9" s="547">
        <v>44865</v>
      </c>
      <c r="AE9" s="546">
        <v>44834</v>
      </c>
      <c r="AF9" s="586">
        <v>44804</v>
      </c>
      <c r="AG9" s="544" t="s">
        <v>528</v>
      </c>
      <c r="AH9" s="548" t="s">
        <v>521</v>
      </c>
    </row>
    <row r="10" spans="1:114" s="511" customFormat="1" x14ac:dyDescent="0.25">
      <c r="A10" s="534">
        <v>1</v>
      </c>
      <c r="B10" s="578">
        <f>EOMONTH(B11,1)</f>
        <v>45688</v>
      </c>
      <c r="C10" s="522"/>
      <c r="D10" s="522">
        <v>934263.31</v>
      </c>
      <c r="E10" s="522">
        <v>438431.82</v>
      </c>
      <c r="F10" s="522">
        <v>167593.85999999999</v>
      </c>
      <c r="G10" s="522">
        <v>15210.33</v>
      </c>
      <c r="H10" s="522">
        <v>12511.13</v>
      </c>
      <c r="I10" s="522">
        <v>13928.26</v>
      </c>
      <c r="J10" s="522">
        <v>15453.47</v>
      </c>
      <c r="K10" s="522">
        <v>7505.01</v>
      </c>
      <c r="L10" s="522">
        <v>3435.26</v>
      </c>
      <c r="M10" s="522">
        <v>2788.95</v>
      </c>
      <c r="N10" s="522">
        <v>2237.0300000000002</v>
      </c>
      <c r="O10" s="522">
        <v>574.99</v>
      </c>
      <c r="P10" s="522">
        <v>397.59</v>
      </c>
      <c r="Q10" s="522">
        <v>781.21</v>
      </c>
      <c r="R10" s="522">
        <v>994.74</v>
      </c>
      <c r="S10" s="522">
        <v>1529.27</v>
      </c>
      <c r="T10" s="522">
        <v>1995.9</v>
      </c>
      <c r="U10" s="522">
        <v>1272.5999999999999</v>
      </c>
      <c r="V10" s="522">
        <v>-171.12</v>
      </c>
      <c r="W10" s="522">
        <v>1506.5</v>
      </c>
      <c r="X10" s="522"/>
      <c r="Y10" s="522"/>
      <c r="Z10" s="522"/>
      <c r="AA10" s="522"/>
      <c r="AB10" s="522"/>
      <c r="AC10" s="522"/>
      <c r="AD10" s="522"/>
      <c r="AE10" s="522"/>
      <c r="AF10" s="572"/>
      <c r="AG10" s="571">
        <v>450.71999999999997</v>
      </c>
      <c r="AH10" s="533">
        <f t="shared" ref="AH10:AH38" si="0">SUM(C10:AG10)</f>
        <v>1622690.83</v>
      </c>
    </row>
    <row r="11" spans="1:114" s="511" customFormat="1" x14ac:dyDescent="0.25">
      <c r="A11" s="534">
        <v>2</v>
      </c>
      <c r="B11" s="535">
        <f>'Schedule 2_Balance Sheet'!C4</f>
        <v>45657</v>
      </c>
      <c r="C11" s="551"/>
      <c r="D11" s="584">
        <v>1650003.29</v>
      </c>
      <c r="E11" s="584">
        <v>828107.46</v>
      </c>
      <c r="F11" s="584">
        <v>577707.42000000004</v>
      </c>
      <c r="G11" s="584">
        <v>104874.25</v>
      </c>
      <c r="H11" s="584">
        <v>21971.63</v>
      </c>
      <c r="I11" s="584">
        <v>11829.65</v>
      </c>
      <c r="J11" s="584">
        <v>10533.02</v>
      </c>
      <c r="K11" s="584">
        <v>13776.26</v>
      </c>
      <c r="L11" s="584">
        <v>8515.25</v>
      </c>
      <c r="M11" s="584">
        <v>1554.27</v>
      </c>
      <c r="N11" s="584">
        <v>742.03</v>
      </c>
      <c r="O11" s="584">
        <v>766.48</v>
      </c>
      <c r="P11" s="584">
        <v>841.28</v>
      </c>
      <c r="Q11" s="584">
        <v>1369.9</v>
      </c>
      <c r="R11" s="584">
        <v>253.24</v>
      </c>
      <c r="S11" s="584">
        <v>118.93</v>
      </c>
      <c r="T11" s="584">
        <v>179.74</v>
      </c>
      <c r="U11" s="584">
        <v>33.14</v>
      </c>
      <c r="V11" s="584">
        <v>79.37</v>
      </c>
      <c r="W11" s="584">
        <v>168.21</v>
      </c>
      <c r="X11" s="584"/>
      <c r="Y11" s="584"/>
      <c r="Z11" s="584"/>
      <c r="AA11" s="584"/>
      <c r="AB11" s="584"/>
      <c r="AC11" s="584"/>
      <c r="AD11" s="584"/>
      <c r="AE11" s="584"/>
      <c r="AF11" s="573"/>
      <c r="AG11" s="569">
        <v>239.94</v>
      </c>
      <c r="AH11" s="533">
        <f t="shared" si="0"/>
        <v>3233664.76</v>
      </c>
    </row>
    <row r="12" spans="1:114" s="511" customFormat="1" x14ac:dyDescent="0.25">
      <c r="A12" s="534">
        <v>3</v>
      </c>
      <c r="B12" s="535">
        <f>EOMONTH(B11,-1)</f>
        <v>45626</v>
      </c>
      <c r="C12" s="551"/>
      <c r="D12" s="551">
        <v>0</v>
      </c>
      <c r="E12" s="523">
        <v>1827458.85</v>
      </c>
      <c r="F12" s="523">
        <v>1393407.7</v>
      </c>
      <c r="G12" s="523">
        <v>570886.97</v>
      </c>
      <c r="H12" s="523">
        <v>195734.55</v>
      </c>
      <c r="I12" s="523">
        <v>33794.69</v>
      </c>
      <c r="J12" s="523">
        <v>18489.66</v>
      </c>
      <c r="K12" s="523">
        <v>12654.71</v>
      </c>
      <c r="L12" s="523">
        <v>16614.22</v>
      </c>
      <c r="M12" s="523">
        <v>5455.95</v>
      </c>
      <c r="N12" s="523">
        <v>3504.1</v>
      </c>
      <c r="O12" s="523">
        <v>6708.15</v>
      </c>
      <c r="P12" s="523">
        <v>4490.0600000000004</v>
      </c>
      <c r="Q12" s="523">
        <v>1106.98</v>
      </c>
      <c r="R12" s="523">
        <v>110.32</v>
      </c>
      <c r="S12" s="523">
        <v>472.23</v>
      </c>
      <c r="T12" s="523">
        <v>725.42</v>
      </c>
      <c r="U12" s="523">
        <v>501.88</v>
      </c>
      <c r="V12" s="523">
        <v>-215.65</v>
      </c>
      <c r="W12" s="523">
        <v>220.39</v>
      </c>
      <c r="X12" s="523"/>
      <c r="Y12" s="523"/>
      <c r="Z12" s="523"/>
      <c r="AA12" s="523"/>
      <c r="AB12" s="523"/>
      <c r="AC12" s="523"/>
      <c r="AD12" s="523"/>
      <c r="AE12" s="523"/>
      <c r="AF12" s="565"/>
      <c r="AG12" s="569">
        <v>30.540000000000003</v>
      </c>
      <c r="AH12" s="533">
        <f t="shared" si="0"/>
        <v>4092151.7199999997</v>
      </c>
    </row>
    <row r="13" spans="1:114" s="510" customFormat="1" ht="15" customHeight="1" x14ac:dyDescent="0.25">
      <c r="A13" s="534">
        <v>4</v>
      </c>
      <c r="B13" s="535">
        <f t="shared" ref="B13:B39" si="1">EOMONTH(B12,-1)</f>
        <v>45596</v>
      </c>
      <c r="C13" s="551"/>
      <c r="D13" s="549">
        <v>0</v>
      </c>
      <c r="E13" s="551">
        <v>0</v>
      </c>
      <c r="F13" s="523">
        <v>1455965.51</v>
      </c>
      <c r="G13" s="523">
        <v>993833.1</v>
      </c>
      <c r="H13" s="523">
        <v>396117.16</v>
      </c>
      <c r="I13" s="523">
        <v>66249.429999999993</v>
      </c>
      <c r="J13" s="523">
        <v>23464</v>
      </c>
      <c r="K13" s="523">
        <v>20088.23</v>
      </c>
      <c r="L13" s="523">
        <v>22398.45</v>
      </c>
      <c r="M13" s="523">
        <v>10842.66</v>
      </c>
      <c r="N13" s="523">
        <v>7506.79</v>
      </c>
      <c r="O13" s="523">
        <v>2828.21</v>
      </c>
      <c r="P13" s="523">
        <v>2245.66</v>
      </c>
      <c r="Q13" s="523">
        <v>3239.26</v>
      </c>
      <c r="R13" s="523">
        <v>1209.6199999999999</v>
      </c>
      <c r="S13" s="524">
        <v>303.52999999999997</v>
      </c>
      <c r="T13" s="524">
        <v>1099.42</v>
      </c>
      <c r="U13" s="524">
        <v>250.49</v>
      </c>
      <c r="V13" s="523">
        <v>21.7</v>
      </c>
      <c r="W13" s="523">
        <v>141.80000000000001</v>
      </c>
      <c r="X13" s="524"/>
      <c r="Y13" s="524"/>
      <c r="Z13" s="523"/>
      <c r="AA13" s="523"/>
      <c r="AB13" s="523"/>
      <c r="AC13" s="523"/>
      <c r="AD13" s="523"/>
      <c r="AE13" s="523"/>
      <c r="AF13" s="565"/>
      <c r="AG13" s="567">
        <v>585.96</v>
      </c>
      <c r="AH13" s="533">
        <f t="shared" si="0"/>
        <v>3008390.9800000004</v>
      </c>
    </row>
    <row r="14" spans="1:114" s="510" customFormat="1" ht="15" customHeight="1" x14ac:dyDescent="0.25">
      <c r="A14" s="534">
        <v>5</v>
      </c>
      <c r="B14" s="535">
        <f t="shared" si="1"/>
        <v>45565</v>
      </c>
      <c r="C14" s="551"/>
      <c r="D14" s="549">
        <v>0</v>
      </c>
      <c r="E14" s="549">
        <v>0</v>
      </c>
      <c r="F14" s="551">
        <v>0</v>
      </c>
      <c r="G14" s="523">
        <v>1564083.16</v>
      </c>
      <c r="H14" s="523">
        <v>856452.29</v>
      </c>
      <c r="I14" s="523">
        <v>483275.46</v>
      </c>
      <c r="J14" s="523">
        <v>54129.42</v>
      </c>
      <c r="K14" s="523">
        <v>22820.54</v>
      </c>
      <c r="L14" s="523">
        <v>26660.639999999999</v>
      </c>
      <c r="M14" s="523">
        <v>36792.47</v>
      </c>
      <c r="N14" s="523">
        <v>23110.2</v>
      </c>
      <c r="O14" s="523">
        <v>4255.7299999999996</v>
      </c>
      <c r="P14" s="523">
        <v>2182.5700000000002</v>
      </c>
      <c r="Q14" s="523">
        <v>1288.24</v>
      </c>
      <c r="R14" s="523">
        <v>1104.8900000000001</v>
      </c>
      <c r="S14" s="524">
        <v>894.5</v>
      </c>
      <c r="T14" s="524">
        <v>408.71</v>
      </c>
      <c r="U14" s="524">
        <v>-31.03</v>
      </c>
      <c r="V14" s="523">
        <v>183.76</v>
      </c>
      <c r="W14" s="523">
        <v>305.97000000000003</v>
      </c>
      <c r="X14" s="524"/>
      <c r="Y14" s="524"/>
      <c r="Z14" s="523"/>
      <c r="AA14" s="523"/>
      <c r="AB14" s="523"/>
      <c r="AC14" s="523"/>
      <c r="AD14" s="523"/>
      <c r="AE14" s="523"/>
      <c r="AF14" s="565"/>
      <c r="AG14" s="568">
        <v>-8401.92</v>
      </c>
      <c r="AH14" s="533">
        <f t="shared" si="0"/>
        <v>3069515.600000001</v>
      </c>
    </row>
    <row r="15" spans="1:114" s="510" customFormat="1" ht="15" customHeight="1" x14ac:dyDescent="0.25">
      <c r="A15" s="534">
        <v>6</v>
      </c>
      <c r="B15" s="535">
        <f t="shared" si="1"/>
        <v>45535</v>
      </c>
      <c r="C15" s="551"/>
      <c r="D15" s="549">
        <v>0</v>
      </c>
      <c r="E15" s="549">
        <v>0</v>
      </c>
      <c r="F15" s="549">
        <v>0</v>
      </c>
      <c r="G15" s="551">
        <v>0</v>
      </c>
      <c r="H15" s="523">
        <v>1755702.56</v>
      </c>
      <c r="I15" s="523">
        <v>1338743.75</v>
      </c>
      <c r="J15" s="523">
        <v>407586.12</v>
      </c>
      <c r="K15" s="523">
        <v>164339.85999999999</v>
      </c>
      <c r="L15" s="523">
        <v>48995.67</v>
      </c>
      <c r="M15" s="523">
        <v>27683.74</v>
      </c>
      <c r="N15" s="523">
        <v>17980.39</v>
      </c>
      <c r="O15" s="523">
        <v>3990.3</v>
      </c>
      <c r="P15" s="523">
        <v>2018.04</v>
      </c>
      <c r="Q15" s="523">
        <v>2533.37</v>
      </c>
      <c r="R15" s="523">
        <v>4219</v>
      </c>
      <c r="S15" s="524">
        <v>925.81</v>
      </c>
      <c r="T15" s="524">
        <v>102.26</v>
      </c>
      <c r="U15" s="524">
        <v>-83.39</v>
      </c>
      <c r="V15" s="523">
        <v>1524.31</v>
      </c>
      <c r="W15" s="523">
        <v>432.27</v>
      </c>
      <c r="X15" s="524"/>
      <c r="Y15" s="524"/>
      <c r="Z15" s="523"/>
      <c r="AA15" s="523"/>
      <c r="AB15" s="523"/>
      <c r="AC15" s="523"/>
      <c r="AD15" s="523"/>
      <c r="AE15" s="523"/>
      <c r="AF15" s="565"/>
      <c r="AG15" s="568">
        <v>-940.65</v>
      </c>
      <c r="AH15" s="533">
        <f t="shared" si="0"/>
        <v>3775753.41</v>
      </c>
    </row>
    <row r="16" spans="1:114" s="510" customFormat="1" ht="15" customHeight="1" x14ac:dyDescent="0.25">
      <c r="A16" s="534">
        <v>7</v>
      </c>
      <c r="B16" s="535">
        <f t="shared" si="1"/>
        <v>45504</v>
      </c>
      <c r="C16" s="551"/>
      <c r="D16" s="549">
        <v>0</v>
      </c>
      <c r="E16" s="549">
        <v>0</v>
      </c>
      <c r="F16" s="552">
        <v>0</v>
      </c>
      <c r="G16" s="549">
        <v>0</v>
      </c>
      <c r="H16" s="551">
        <v>0</v>
      </c>
      <c r="I16" s="523">
        <v>1285612.0900000001</v>
      </c>
      <c r="J16" s="523">
        <v>861926.21</v>
      </c>
      <c r="K16" s="523">
        <v>253108.78</v>
      </c>
      <c r="L16" s="523">
        <v>48508.160000000003</v>
      </c>
      <c r="M16" s="523">
        <v>24699.02</v>
      </c>
      <c r="N16" s="523">
        <v>2906.81</v>
      </c>
      <c r="O16" s="523">
        <v>584.09</v>
      </c>
      <c r="P16" s="523">
        <v>4005.07</v>
      </c>
      <c r="Q16" s="523">
        <v>3024.67</v>
      </c>
      <c r="R16" s="523">
        <v>288.3</v>
      </c>
      <c r="S16" s="524">
        <v>722.24</v>
      </c>
      <c r="T16" s="524">
        <v>342.06</v>
      </c>
      <c r="U16" s="524">
        <v>-220.84</v>
      </c>
      <c r="V16" s="523">
        <v>4.63</v>
      </c>
      <c r="W16" s="523">
        <v>1524.88</v>
      </c>
      <c r="X16" s="524"/>
      <c r="Y16" s="524"/>
      <c r="Z16" s="523"/>
      <c r="AA16" s="523"/>
      <c r="AB16" s="523"/>
      <c r="AC16" s="523"/>
      <c r="AD16" s="523"/>
      <c r="AE16" s="523"/>
      <c r="AF16" s="565"/>
      <c r="AG16" s="568">
        <v>-2102.5300000000002</v>
      </c>
      <c r="AH16" s="533">
        <f t="shared" si="0"/>
        <v>2484933.6399999997</v>
      </c>
    </row>
    <row r="17" spans="1:37" s="510" customFormat="1" ht="15" customHeight="1" x14ac:dyDescent="0.25">
      <c r="A17" s="534">
        <v>8</v>
      </c>
      <c r="B17" s="535">
        <f t="shared" si="1"/>
        <v>45473</v>
      </c>
      <c r="C17" s="551"/>
      <c r="D17" s="549">
        <v>0</v>
      </c>
      <c r="E17" s="549">
        <v>0</v>
      </c>
      <c r="F17" s="549">
        <v>0</v>
      </c>
      <c r="G17" s="549">
        <v>0</v>
      </c>
      <c r="H17" s="549">
        <v>0</v>
      </c>
      <c r="I17" s="551">
        <v>0</v>
      </c>
      <c r="J17" s="523">
        <v>1574355.64</v>
      </c>
      <c r="K17" s="523">
        <v>911546.64</v>
      </c>
      <c r="L17" s="523">
        <v>97509.56</v>
      </c>
      <c r="M17" s="523">
        <v>38001.08</v>
      </c>
      <c r="N17" s="523">
        <v>22603.34</v>
      </c>
      <c r="O17" s="523">
        <v>14953</v>
      </c>
      <c r="P17" s="523">
        <v>5675.21</v>
      </c>
      <c r="Q17" s="523">
        <v>3471.04</v>
      </c>
      <c r="R17" s="523">
        <v>4150.9799999999996</v>
      </c>
      <c r="S17" s="524">
        <v>2245.19</v>
      </c>
      <c r="T17" s="524">
        <v>1858.73</v>
      </c>
      <c r="U17" s="524">
        <v>1728.77</v>
      </c>
      <c r="V17" s="523">
        <v>499.55</v>
      </c>
      <c r="W17" s="523">
        <v>239.82</v>
      </c>
      <c r="X17" s="524"/>
      <c r="Y17" s="524"/>
      <c r="Z17" s="523"/>
      <c r="AA17" s="523"/>
      <c r="AB17" s="523"/>
      <c r="AC17" s="523"/>
      <c r="AD17" s="523"/>
      <c r="AE17" s="523"/>
      <c r="AF17" s="565"/>
      <c r="AG17" s="568">
        <v>1125.2499999999998</v>
      </c>
      <c r="AH17" s="533">
        <f t="shared" si="0"/>
        <v>2679963.7999999993</v>
      </c>
    </row>
    <row r="18" spans="1:37" s="510" customFormat="1" ht="15" customHeight="1" x14ac:dyDescent="0.25">
      <c r="A18" s="534">
        <v>9</v>
      </c>
      <c r="B18" s="535">
        <f t="shared" si="1"/>
        <v>45443</v>
      </c>
      <c r="C18" s="551"/>
      <c r="D18" s="549">
        <v>0</v>
      </c>
      <c r="E18" s="549">
        <v>0</v>
      </c>
      <c r="F18" s="549">
        <v>0</v>
      </c>
      <c r="G18" s="549">
        <v>0</v>
      </c>
      <c r="H18" s="549">
        <v>0</v>
      </c>
      <c r="I18" s="549">
        <v>0</v>
      </c>
      <c r="J18" s="551">
        <v>0</v>
      </c>
      <c r="K18" s="523">
        <v>1816367.1</v>
      </c>
      <c r="L18" s="523">
        <v>1383944.03</v>
      </c>
      <c r="M18" s="523">
        <v>264144.53999999998</v>
      </c>
      <c r="N18" s="523">
        <v>48428.18</v>
      </c>
      <c r="O18" s="523">
        <v>21018.29</v>
      </c>
      <c r="P18" s="523">
        <v>10571.07</v>
      </c>
      <c r="Q18" s="523">
        <v>8137.18</v>
      </c>
      <c r="R18" s="523">
        <v>6651.54</v>
      </c>
      <c r="S18" s="524">
        <v>3647.75</v>
      </c>
      <c r="T18" s="524">
        <v>4743.74</v>
      </c>
      <c r="U18" s="524">
        <v>948.88</v>
      </c>
      <c r="V18" s="523">
        <v>2021.32</v>
      </c>
      <c r="W18" s="523">
        <v>1076.72</v>
      </c>
      <c r="X18" s="524"/>
      <c r="Y18" s="524"/>
      <c r="Z18" s="523"/>
      <c r="AA18" s="523"/>
      <c r="AB18" s="523"/>
      <c r="AC18" s="523"/>
      <c r="AD18" s="523"/>
      <c r="AE18" s="523"/>
      <c r="AF18" s="565"/>
      <c r="AG18" s="568">
        <v>8048.7700000000023</v>
      </c>
      <c r="AH18" s="533">
        <f t="shared" si="0"/>
        <v>3579749.1100000003</v>
      </c>
      <c r="AK18" s="575"/>
    </row>
    <row r="19" spans="1:37" s="510" customFormat="1" ht="15" customHeight="1" x14ac:dyDescent="0.25">
      <c r="A19" s="534">
        <v>10</v>
      </c>
      <c r="B19" s="535">
        <f t="shared" si="1"/>
        <v>45412</v>
      </c>
      <c r="C19" s="551"/>
      <c r="D19" s="549">
        <v>0</v>
      </c>
      <c r="E19" s="549">
        <v>0</v>
      </c>
      <c r="F19" s="549">
        <v>0</v>
      </c>
      <c r="G19" s="549">
        <v>0</v>
      </c>
      <c r="H19" s="549">
        <v>0</v>
      </c>
      <c r="I19" s="549">
        <v>0</v>
      </c>
      <c r="J19" s="549">
        <v>0</v>
      </c>
      <c r="K19" s="551">
        <v>0</v>
      </c>
      <c r="L19" s="523">
        <v>1370377.64</v>
      </c>
      <c r="M19" s="523">
        <v>1016711.72</v>
      </c>
      <c r="N19" s="523">
        <v>181688.33</v>
      </c>
      <c r="O19" s="523">
        <v>38169.86</v>
      </c>
      <c r="P19" s="523">
        <v>10162.040000000001</v>
      </c>
      <c r="Q19" s="523">
        <v>8793.57</v>
      </c>
      <c r="R19" s="523">
        <v>15938.88</v>
      </c>
      <c r="S19" s="524">
        <v>7567.66</v>
      </c>
      <c r="T19" s="524">
        <v>6671.86</v>
      </c>
      <c r="U19" s="524">
        <v>3686.23</v>
      </c>
      <c r="V19" s="523">
        <v>3116.19</v>
      </c>
      <c r="W19" s="523">
        <v>5596.56</v>
      </c>
      <c r="X19" s="524"/>
      <c r="Y19" s="524"/>
      <c r="Z19" s="523"/>
      <c r="AA19" s="523"/>
      <c r="AB19" s="523"/>
      <c r="AC19" s="523"/>
      <c r="AD19" s="523"/>
      <c r="AE19" s="523"/>
      <c r="AF19" s="565"/>
      <c r="AG19" s="568">
        <v>6397.69</v>
      </c>
      <c r="AH19" s="533">
        <f t="shared" si="0"/>
        <v>2674878.2299999995</v>
      </c>
    </row>
    <row r="20" spans="1:37" s="510" customFormat="1" ht="15" customHeight="1" x14ac:dyDescent="0.25">
      <c r="A20" s="534">
        <v>11</v>
      </c>
      <c r="B20" s="535">
        <f t="shared" si="1"/>
        <v>45382</v>
      </c>
      <c r="C20" s="551"/>
      <c r="D20" s="549">
        <v>0</v>
      </c>
      <c r="E20" s="549">
        <v>0</v>
      </c>
      <c r="F20" s="549">
        <v>0</v>
      </c>
      <c r="G20" s="549">
        <v>0</v>
      </c>
      <c r="H20" s="549">
        <v>0</v>
      </c>
      <c r="I20" s="549">
        <v>0</v>
      </c>
      <c r="J20" s="549">
        <v>0</v>
      </c>
      <c r="K20" s="549">
        <v>0</v>
      </c>
      <c r="L20" s="551">
        <v>0</v>
      </c>
      <c r="M20" s="523">
        <v>1684503.86</v>
      </c>
      <c r="N20" s="523">
        <v>1400152.88</v>
      </c>
      <c r="O20" s="523">
        <v>295735.86</v>
      </c>
      <c r="P20" s="523">
        <v>32332.78</v>
      </c>
      <c r="Q20" s="523">
        <v>14756.02</v>
      </c>
      <c r="R20" s="523">
        <v>12730.49</v>
      </c>
      <c r="S20" s="524">
        <v>8748.52</v>
      </c>
      <c r="T20" s="524">
        <v>5574.17</v>
      </c>
      <c r="U20" s="524">
        <v>4230.8500000000004</v>
      </c>
      <c r="V20" s="523">
        <v>10288.75</v>
      </c>
      <c r="W20" s="523">
        <v>2370.7600000000002</v>
      </c>
      <c r="X20" s="524"/>
      <c r="Y20" s="524"/>
      <c r="Z20" s="523"/>
      <c r="AA20" s="523"/>
      <c r="AB20" s="523"/>
      <c r="AC20" s="523"/>
      <c r="AD20" s="523"/>
      <c r="AE20" s="523"/>
      <c r="AF20" s="565"/>
      <c r="AG20" s="568">
        <v>8430.2300000000014</v>
      </c>
      <c r="AH20" s="533">
        <f t="shared" si="0"/>
        <v>3479855.17</v>
      </c>
    </row>
    <row r="21" spans="1:37" s="510" customFormat="1" ht="15" customHeight="1" x14ac:dyDescent="0.25">
      <c r="A21" s="534">
        <v>12</v>
      </c>
      <c r="B21" s="535">
        <f t="shared" si="1"/>
        <v>45351</v>
      </c>
      <c r="C21" s="551"/>
      <c r="D21" s="549">
        <v>0</v>
      </c>
      <c r="E21" s="549">
        <v>0</v>
      </c>
      <c r="F21" s="549">
        <v>0</v>
      </c>
      <c r="G21" s="549">
        <v>0</v>
      </c>
      <c r="H21" s="549">
        <v>0</v>
      </c>
      <c r="I21" s="549">
        <v>0</v>
      </c>
      <c r="J21" s="549">
        <v>0</v>
      </c>
      <c r="K21" s="549">
        <v>0</v>
      </c>
      <c r="L21" s="549">
        <v>0</v>
      </c>
      <c r="M21" s="551">
        <v>0</v>
      </c>
      <c r="N21" s="523">
        <v>1082326.92</v>
      </c>
      <c r="O21" s="523">
        <v>1275952.95</v>
      </c>
      <c r="P21" s="523">
        <v>163806.07</v>
      </c>
      <c r="Q21" s="523">
        <v>41538.01</v>
      </c>
      <c r="R21" s="523">
        <v>18034.93</v>
      </c>
      <c r="S21" s="524">
        <v>7750.4</v>
      </c>
      <c r="T21" s="524">
        <v>3669.53</v>
      </c>
      <c r="U21" s="524">
        <v>5126.51</v>
      </c>
      <c r="V21" s="523">
        <v>2914.64</v>
      </c>
      <c r="W21" s="523">
        <v>723.79</v>
      </c>
      <c r="X21" s="524"/>
      <c r="Y21" s="524"/>
      <c r="Z21" s="523"/>
      <c r="AA21" s="523"/>
      <c r="AB21" s="523"/>
      <c r="AC21" s="523"/>
      <c r="AD21" s="523"/>
      <c r="AE21" s="523"/>
      <c r="AF21" s="565"/>
      <c r="AG21" s="568">
        <v>2993.9400000000005</v>
      </c>
      <c r="AH21" s="533">
        <f t="shared" si="0"/>
        <v>2604837.6899999995</v>
      </c>
    </row>
    <row r="22" spans="1:37" s="510" customFormat="1" ht="15" customHeight="1" x14ac:dyDescent="0.25">
      <c r="A22" s="534">
        <v>13</v>
      </c>
      <c r="B22" s="535">
        <f t="shared" si="1"/>
        <v>45322</v>
      </c>
      <c r="C22" s="551"/>
      <c r="D22" s="549">
        <v>0</v>
      </c>
      <c r="E22" s="549">
        <v>0</v>
      </c>
      <c r="F22" s="549">
        <v>0</v>
      </c>
      <c r="G22" s="549">
        <v>0</v>
      </c>
      <c r="H22" s="549">
        <v>0</v>
      </c>
      <c r="I22" s="549">
        <v>0</v>
      </c>
      <c r="J22" s="549">
        <v>0</v>
      </c>
      <c r="K22" s="549">
        <v>0</v>
      </c>
      <c r="L22" s="549">
        <v>0</v>
      </c>
      <c r="M22" s="549">
        <v>0</v>
      </c>
      <c r="N22" s="551">
        <v>0</v>
      </c>
      <c r="O22" s="523">
        <v>1362892.59</v>
      </c>
      <c r="P22" s="523">
        <v>954528.03</v>
      </c>
      <c r="Q22" s="523">
        <v>260686.23</v>
      </c>
      <c r="R22" s="523">
        <v>73578.94</v>
      </c>
      <c r="S22" s="524">
        <v>16870.240000000002</v>
      </c>
      <c r="T22" s="524">
        <v>5031.79</v>
      </c>
      <c r="U22" s="524">
        <v>8466.19</v>
      </c>
      <c r="V22" s="523">
        <v>6006.82</v>
      </c>
      <c r="W22" s="523">
        <v>2153.73</v>
      </c>
      <c r="X22" s="524"/>
      <c r="Y22" s="524"/>
      <c r="Z22" s="523"/>
      <c r="AA22" s="523"/>
      <c r="AB22" s="523"/>
      <c r="AC22" s="523"/>
      <c r="AD22" s="523"/>
      <c r="AE22" s="523"/>
      <c r="AF22" s="565"/>
      <c r="AG22" s="568">
        <v>8519.1400000000012</v>
      </c>
      <c r="AH22" s="533">
        <f t="shared" si="0"/>
        <v>2698733.7</v>
      </c>
    </row>
    <row r="23" spans="1:37" s="510" customFormat="1" ht="15" customHeight="1" x14ac:dyDescent="0.25">
      <c r="A23" s="534">
        <v>14</v>
      </c>
      <c r="B23" s="535">
        <f t="shared" si="1"/>
        <v>45291</v>
      </c>
      <c r="C23" s="551"/>
      <c r="D23" s="549">
        <v>0</v>
      </c>
      <c r="E23" s="549">
        <v>0</v>
      </c>
      <c r="F23" s="549">
        <v>0</v>
      </c>
      <c r="G23" s="549">
        <v>0</v>
      </c>
      <c r="H23" s="549">
        <v>0</v>
      </c>
      <c r="I23" s="549">
        <v>0</v>
      </c>
      <c r="J23" s="549">
        <v>0</v>
      </c>
      <c r="K23" s="549">
        <v>0</v>
      </c>
      <c r="L23" s="549">
        <v>0</v>
      </c>
      <c r="M23" s="549">
        <v>0</v>
      </c>
      <c r="N23" s="549">
        <v>0</v>
      </c>
      <c r="O23" s="551">
        <v>0</v>
      </c>
      <c r="P23" s="523">
        <v>1500062.27</v>
      </c>
      <c r="Q23" s="523">
        <v>1425254.02</v>
      </c>
      <c r="R23" s="523">
        <v>244170.59</v>
      </c>
      <c r="S23" s="524">
        <v>35903.93</v>
      </c>
      <c r="T23" s="524">
        <v>12294.26</v>
      </c>
      <c r="U23" s="524">
        <v>6504.07</v>
      </c>
      <c r="V23" s="523">
        <v>6444.17</v>
      </c>
      <c r="W23" s="523">
        <v>4042.76</v>
      </c>
      <c r="X23" s="524"/>
      <c r="Y23" s="524"/>
      <c r="Z23" s="523"/>
      <c r="AA23" s="523"/>
      <c r="AB23" s="523"/>
      <c r="AC23" s="523"/>
      <c r="AD23" s="523"/>
      <c r="AE23" s="523"/>
      <c r="AF23" s="565"/>
      <c r="AG23" s="568">
        <v>5292.82</v>
      </c>
      <c r="AH23" s="533">
        <f t="shared" si="0"/>
        <v>3239968.8899999992</v>
      </c>
    </row>
    <row r="24" spans="1:37" s="510" customFormat="1" ht="15" customHeight="1" x14ac:dyDescent="0.25">
      <c r="A24" s="534">
        <v>15</v>
      </c>
      <c r="B24" s="535">
        <f t="shared" si="1"/>
        <v>45260</v>
      </c>
      <c r="C24" s="551"/>
      <c r="D24" s="549">
        <v>0</v>
      </c>
      <c r="E24" s="549">
        <v>0</v>
      </c>
      <c r="F24" s="549">
        <v>0</v>
      </c>
      <c r="G24" s="549">
        <v>0</v>
      </c>
      <c r="H24" s="549">
        <v>0</v>
      </c>
      <c r="I24" s="549">
        <v>0</v>
      </c>
      <c r="J24" s="549">
        <v>0</v>
      </c>
      <c r="K24" s="549">
        <v>0</v>
      </c>
      <c r="L24" s="549">
        <v>0</v>
      </c>
      <c r="M24" s="549">
        <v>0</v>
      </c>
      <c r="N24" s="549">
        <v>0</v>
      </c>
      <c r="O24" s="551">
        <v>0</v>
      </c>
      <c r="P24" s="551">
        <v>0</v>
      </c>
      <c r="Q24" s="523">
        <v>1215030.06</v>
      </c>
      <c r="R24" s="523">
        <v>1157040.03</v>
      </c>
      <c r="S24" s="524">
        <v>136544.13</v>
      </c>
      <c r="T24" s="524">
        <v>15715.83</v>
      </c>
      <c r="U24" s="524">
        <v>9267.19</v>
      </c>
      <c r="V24" s="523">
        <v>11832.3</v>
      </c>
      <c r="W24" s="523">
        <v>1722.81</v>
      </c>
      <c r="X24" s="524"/>
      <c r="Y24" s="524"/>
      <c r="Z24" s="523"/>
      <c r="AA24" s="523"/>
      <c r="AB24" s="523"/>
      <c r="AC24" s="523"/>
      <c r="AD24" s="523"/>
      <c r="AE24" s="523"/>
      <c r="AF24" s="565"/>
      <c r="AG24" s="568">
        <v>15380.959999999997</v>
      </c>
      <c r="AH24" s="533">
        <f t="shared" si="0"/>
        <v>2562533.3099999996</v>
      </c>
    </row>
    <row r="25" spans="1:37" s="510" customFormat="1" ht="15" customHeight="1" x14ac:dyDescent="0.25">
      <c r="A25" s="534">
        <v>16</v>
      </c>
      <c r="B25" s="535">
        <f t="shared" si="1"/>
        <v>45230</v>
      </c>
      <c r="C25" s="551"/>
      <c r="D25" s="549">
        <v>0</v>
      </c>
      <c r="E25" s="549">
        <v>0</v>
      </c>
      <c r="F25" s="549">
        <v>0</v>
      </c>
      <c r="G25" s="549">
        <v>0</v>
      </c>
      <c r="H25" s="549">
        <v>0</v>
      </c>
      <c r="I25" s="549">
        <v>0</v>
      </c>
      <c r="J25" s="549">
        <v>0</v>
      </c>
      <c r="K25" s="549">
        <v>0</v>
      </c>
      <c r="L25" s="549">
        <v>0</v>
      </c>
      <c r="M25" s="549">
        <v>0</v>
      </c>
      <c r="N25" s="549">
        <v>0</v>
      </c>
      <c r="O25" s="550">
        <v>0</v>
      </c>
      <c r="P25" s="549">
        <v>0</v>
      </c>
      <c r="Q25" s="551">
        <v>0</v>
      </c>
      <c r="R25" s="523">
        <v>1617020.32</v>
      </c>
      <c r="S25" s="524">
        <v>1015024.48</v>
      </c>
      <c r="T25" s="524">
        <v>169064.64</v>
      </c>
      <c r="U25" s="524">
        <v>25215.48</v>
      </c>
      <c r="V25" s="523">
        <v>15825.53</v>
      </c>
      <c r="W25" s="523">
        <v>17491.16</v>
      </c>
      <c r="X25" s="524"/>
      <c r="Y25" s="524"/>
      <c r="Z25" s="523"/>
      <c r="AA25" s="523"/>
      <c r="AB25" s="523"/>
      <c r="AC25" s="523"/>
      <c r="AD25" s="523"/>
      <c r="AE25" s="523"/>
      <c r="AF25" s="565"/>
      <c r="AG25" s="568">
        <v>28632.82</v>
      </c>
      <c r="AH25" s="533">
        <f t="shared" si="0"/>
        <v>2888274.4299999997</v>
      </c>
    </row>
    <row r="26" spans="1:37" s="510" customFormat="1" ht="15" customHeight="1" x14ac:dyDescent="0.25">
      <c r="A26" s="534">
        <v>17</v>
      </c>
      <c r="B26" s="535">
        <f t="shared" si="1"/>
        <v>45199</v>
      </c>
      <c r="C26" s="551"/>
      <c r="D26" s="549">
        <v>0</v>
      </c>
      <c r="E26" s="549">
        <v>0</v>
      </c>
      <c r="F26" s="549">
        <v>0</v>
      </c>
      <c r="G26" s="549">
        <v>0</v>
      </c>
      <c r="H26" s="549">
        <v>0</v>
      </c>
      <c r="I26" s="549">
        <v>0</v>
      </c>
      <c r="J26" s="549">
        <v>0</v>
      </c>
      <c r="K26" s="549">
        <v>0</v>
      </c>
      <c r="L26" s="549">
        <v>0</v>
      </c>
      <c r="M26" s="549">
        <v>0</v>
      </c>
      <c r="N26" s="549">
        <v>0</v>
      </c>
      <c r="O26" s="550">
        <v>0</v>
      </c>
      <c r="P26" s="549">
        <v>0</v>
      </c>
      <c r="Q26" s="549">
        <v>0</v>
      </c>
      <c r="R26" s="551">
        <v>0</v>
      </c>
      <c r="S26" s="524">
        <v>1716069.74</v>
      </c>
      <c r="T26" s="524">
        <v>1390192.45</v>
      </c>
      <c r="U26" s="524">
        <v>215482.57</v>
      </c>
      <c r="V26" s="523">
        <v>34922.199999999997</v>
      </c>
      <c r="W26" s="523">
        <v>12415.98</v>
      </c>
      <c r="X26" s="524"/>
      <c r="Y26" s="524"/>
      <c r="Z26" s="523"/>
      <c r="AA26" s="523"/>
      <c r="AB26" s="523"/>
      <c r="AC26" s="523"/>
      <c r="AD26" s="523"/>
      <c r="AE26" s="523"/>
      <c r="AF26" s="573"/>
      <c r="AG26" s="568">
        <v>90787.680000000022</v>
      </c>
      <c r="AH26" s="533">
        <f t="shared" si="0"/>
        <v>3459870.62</v>
      </c>
    </row>
    <row r="27" spans="1:37" s="510" customFormat="1" ht="15" customHeight="1" x14ac:dyDescent="0.25">
      <c r="A27" s="534">
        <v>18</v>
      </c>
      <c r="B27" s="535">
        <f t="shared" si="1"/>
        <v>45169</v>
      </c>
      <c r="C27" s="551"/>
      <c r="D27" s="549">
        <v>0</v>
      </c>
      <c r="E27" s="549">
        <v>0</v>
      </c>
      <c r="F27" s="549">
        <v>0</v>
      </c>
      <c r="G27" s="549">
        <v>0</v>
      </c>
      <c r="H27" s="549">
        <v>0</v>
      </c>
      <c r="I27" s="549">
        <v>0</v>
      </c>
      <c r="J27" s="549">
        <v>0</v>
      </c>
      <c r="K27" s="549">
        <v>0</v>
      </c>
      <c r="L27" s="549">
        <v>0</v>
      </c>
      <c r="M27" s="549">
        <v>0</v>
      </c>
      <c r="N27" s="549">
        <v>0</v>
      </c>
      <c r="O27" s="550">
        <v>0</v>
      </c>
      <c r="P27" s="549">
        <v>0</v>
      </c>
      <c r="Q27" s="550">
        <v>0</v>
      </c>
      <c r="R27" s="549">
        <v>0</v>
      </c>
      <c r="S27" s="551">
        <v>0</v>
      </c>
      <c r="T27" s="524">
        <v>1342097.17</v>
      </c>
      <c r="U27" s="524">
        <v>995591.59</v>
      </c>
      <c r="V27" s="523">
        <v>196042.01</v>
      </c>
      <c r="W27" s="523">
        <v>20434.150000000001</v>
      </c>
      <c r="X27" s="524"/>
      <c r="Y27" s="524"/>
      <c r="Z27" s="523"/>
      <c r="AA27" s="523"/>
      <c r="AB27" s="523"/>
      <c r="AC27" s="523"/>
      <c r="AD27" s="523"/>
      <c r="AE27" s="523"/>
      <c r="AF27" s="565"/>
      <c r="AG27" s="574">
        <v>25383.550000000007</v>
      </c>
      <c r="AH27" s="533">
        <f t="shared" si="0"/>
        <v>2579548.4699999993</v>
      </c>
    </row>
    <row r="28" spans="1:37" s="510" customFormat="1" ht="15" customHeight="1" x14ac:dyDescent="0.25">
      <c r="A28" s="534">
        <v>19</v>
      </c>
      <c r="B28" s="535">
        <f t="shared" si="1"/>
        <v>45138</v>
      </c>
      <c r="C28" s="551"/>
      <c r="D28" s="549">
        <v>0</v>
      </c>
      <c r="E28" s="549">
        <v>0</v>
      </c>
      <c r="F28" s="549">
        <v>0</v>
      </c>
      <c r="G28" s="549">
        <v>0</v>
      </c>
      <c r="H28" s="549">
        <v>0</v>
      </c>
      <c r="I28" s="549">
        <v>0</v>
      </c>
      <c r="J28" s="549">
        <v>0</v>
      </c>
      <c r="K28" s="549">
        <v>0</v>
      </c>
      <c r="L28" s="549">
        <v>0</v>
      </c>
      <c r="M28" s="549">
        <v>0</v>
      </c>
      <c r="N28" s="549">
        <v>0</v>
      </c>
      <c r="O28" s="550">
        <v>0</v>
      </c>
      <c r="P28" s="549">
        <v>0</v>
      </c>
      <c r="Q28" s="550">
        <v>0</v>
      </c>
      <c r="R28" s="549">
        <v>0</v>
      </c>
      <c r="S28" s="549">
        <v>0</v>
      </c>
      <c r="T28" s="551">
        <v>0</v>
      </c>
      <c r="U28" s="524">
        <v>1430133.08</v>
      </c>
      <c r="V28" s="523">
        <v>1448449.2</v>
      </c>
      <c r="W28" s="523">
        <v>176339</v>
      </c>
      <c r="X28" s="524"/>
      <c r="Y28" s="524"/>
      <c r="Z28" s="523"/>
      <c r="AA28" s="523"/>
      <c r="AB28" s="523"/>
      <c r="AC28" s="523"/>
      <c r="AD28" s="523"/>
      <c r="AE28" s="523"/>
      <c r="AF28" s="565"/>
      <c r="AG28" s="569">
        <v>60490.859999999993</v>
      </c>
      <c r="AH28" s="533">
        <f t="shared" si="0"/>
        <v>3115412.14</v>
      </c>
    </row>
    <row r="29" spans="1:37" s="510" customFormat="1" ht="15" customHeight="1" x14ac:dyDescent="0.25">
      <c r="A29" s="534">
        <v>20</v>
      </c>
      <c r="B29" s="535">
        <f t="shared" si="1"/>
        <v>45107</v>
      </c>
      <c r="C29" s="551"/>
      <c r="D29" s="549">
        <v>0</v>
      </c>
      <c r="E29" s="549">
        <v>0</v>
      </c>
      <c r="F29" s="549">
        <v>0</v>
      </c>
      <c r="G29" s="549">
        <v>0</v>
      </c>
      <c r="H29" s="549">
        <v>0</v>
      </c>
      <c r="I29" s="549">
        <v>0</v>
      </c>
      <c r="J29" s="549">
        <v>0</v>
      </c>
      <c r="K29" s="549">
        <v>0</v>
      </c>
      <c r="L29" s="549">
        <v>0</v>
      </c>
      <c r="M29" s="549">
        <v>0</v>
      </c>
      <c r="N29" s="549">
        <v>0</v>
      </c>
      <c r="O29" s="550">
        <v>0</v>
      </c>
      <c r="P29" s="549">
        <v>0</v>
      </c>
      <c r="Q29" s="550">
        <v>0</v>
      </c>
      <c r="R29" s="549">
        <v>0</v>
      </c>
      <c r="S29" s="550">
        <v>0</v>
      </c>
      <c r="T29" s="549">
        <v>0</v>
      </c>
      <c r="U29" s="551">
        <v>0</v>
      </c>
      <c r="V29" s="523">
        <v>1151126.02</v>
      </c>
      <c r="W29" s="523">
        <v>1235374.51</v>
      </c>
      <c r="X29" s="524"/>
      <c r="Y29" s="524"/>
      <c r="Z29" s="523"/>
      <c r="AA29" s="523"/>
      <c r="AB29" s="523"/>
      <c r="AC29" s="523"/>
      <c r="AD29" s="523"/>
      <c r="AE29" s="523"/>
      <c r="AF29" s="565"/>
      <c r="AG29" s="568">
        <v>250207.27000000002</v>
      </c>
      <c r="AH29" s="533">
        <f t="shared" si="0"/>
        <v>2636707.8000000003</v>
      </c>
    </row>
    <row r="30" spans="1:37" s="510" customFormat="1" ht="15" customHeight="1" x14ac:dyDescent="0.25">
      <c r="A30" s="534">
        <v>21</v>
      </c>
      <c r="B30" s="535">
        <f t="shared" si="1"/>
        <v>45077</v>
      </c>
      <c r="C30" s="551"/>
      <c r="D30" s="549">
        <v>0</v>
      </c>
      <c r="E30" s="549">
        <v>0</v>
      </c>
      <c r="F30" s="549">
        <v>0</v>
      </c>
      <c r="G30" s="549">
        <v>0</v>
      </c>
      <c r="H30" s="549">
        <v>0</v>
      </c>
      <c r="I30" s="549">
        <v>0</v>
      </c>
      <c r="J30" s="549">
        <v>0</v>
      </c>
      <c r="K30" s="549">
        <v>0</v>
      </c>
      <c r="L30" s="549">
        <v>0</v>
      </c>
      <c r="M30" s="549">
        <v>0</v>
      </c>
      <c r="N30" s="549">
        <v>0</v>
      </c>
      <c r="O30" s="550">
        <v>0</v>
      </c>
      <c r="P30" s="549">
        <v>0</v>
      </c>
      <c r="Q30" s="550">
        <v>0</v>
      </c>
      <c r="R30" s="549">
        <v>0</v>
      </c>
      <c r="S30" s="550">
        <v>0</v>
      </c>
      <c r="T30" s="550">
        <v>0</v>
      </c>
      <c r="U30" s="550">
        <v>0</v>
      </c>
      <c r="V30" s="549">
        <v>0</v>
      </c>
      <c r="W30" s="523">
        <v>1518389.48</v>
      </c>
      <c r="X30" s="524"/>
      <c r="Y30" s="524"/>
      <c r="Z30" s="523"/>
      <c r="AA30" s="523"/>
      <c r="AB30" s="523"/>
      <c r="AC30" s="523"/>
      <c r="AD30" s="523"/>
      <c r="AE30" s="523"/>
      <c r="AF30" s="565"/>
      <c r="AG30" s="568">
        <v>1529161.6799999997</v>
      </c>
      <c r="AH30" s="533">
        <f t="shared" si="0"/>
        <v>3047551.1599999997</v>
      </c>
    </row>
    <row r="31" spans="1:37" s="510" customFormat="1" ht="15" customHeight="1" x14ac:dyDescent="0.25">
      <c r="A31" s="534">
        <v>22</v>
      </c>
      <c r="B31" s="535">
        <f t="shared" si="1"/>
        <v>45046</v>
      </c>
      <c r="C31" s="551"/>
      <c r="D31" s="549"/>
      <c r="E31" s="549"/>
      <c r="F31" s="549"/>
      <c r="G31" s="549"/>
      <c r="H31" s="549"/>
      <c r="I31" s="549"/>
      <c r="J31" s="549"/>
      <c r="K31" s="549"/>
      <c r="L31" s="549"/>
      <c r="M31" s="549"/>
      <c r="N31" s="549"/>
      <c r="O31" s="550"/>
      <c r="P31" s="549"/>
      <c r="Q31" s="550"/>
      <c r="R31" s="549"/>
      <c r="S31" s="550"/>
      <c r="T31" s="550"/>
      <c r="U31" s="550"/>
      <c r="V31" s="549"/>
      <c r="W31" s="549"/>
      <c r="X31" s="524"/>
      <c r="Y31" s="524"/>
      <c r="Z31" s="523"/>
      <c r="AA31" s="523"/>
      <c r="AB31" s="523"/>
      <c r="AC31" s="523"/>
      <c r="AD31" s="523"/>
      <c r="AE31" s="523"/>
      <c r="AF31" s="565"/>
      <c r="AG31" s="568"/>
      <c r="AH31" s="533">
        <f t="shared" si="0"/>
        <v>0</v>
      </c>
    </row>
    <row r="32" spans="1:37" s="510" customFormat="1" ht="15" customHeight="1" x14ac:dyDescent="0.25">
      <c r="A32" s="534">
        <v>23</v>
      </c>
      <c r="B32" s="535">
        <f t="shared" si="1"/>
        <v>45016</v>
      </c>
      <c r="C32" s="551"/>
      <c r="D32" s="549"/>
      <c r="E32" s="549"/>
      <c r="F32" s="549"/>
      <c r="G32" s="549"/>
      <c r="H32" s="549"/>
      <c r="I32" s="549"/>
      <c r="J32" s="549"/>
      <c r="K32" s="549"/>
      <c r="L32" s="549"/>
      <c r="M32" s="549"/>
      <c r="N32" s="549"/>
      <c r="O32" s="550"/>
      <c r="P32" s="549"/>
      <c r="Q32" s="550"/>
      <c r="R32" s="549"/>
      <c r="S32" s="550"/>
      <c r="T32" s="550"/>
      <c r="U32" s="550"/>
      <c r="V32" s="549"/>
      <c r="W32" s="550"/>
      <c r="X32" s="549"/>
      <c r="Y32" s="524"/>
      <c r="Z32" s="523"/>
      <c r="AA32" s="523"/>
      <c r="AB32" s="523"/>
      <c r="AC32" s="523"/>
      <c r="AD32" s="523"/>
      <c r="AE32" s="523"/>
      <c r="AF32" s="565"/>
      <c r="AG32" s="568"/>
      <c r="AH32" s="533">
        <f t="shared" si="0"/>
        <v>0</v>
      </c>
    </row>
    <row r="33" spans="1:34" s="510" customFormat="1" ht="15" customHeight="1" x14ac:dyDescent="0.25">
      <c r="A33" s="534">
        <v>24</v>
      </c>
      <c r="B33" s="535">
        <f t="shared" si="1"/>
        <v>44985</v>
      </c>
      <c r="C33" s="551"/>
      <c r="D33" s="549"/>
      <c r="E33" s="549"/>
      <c r="F33" s="549"/>
      <c r="G33" s="549"/>
      <c r="H33" s="549"/>
      <c r="I33" s="549"/>
      <c r="J33" s="549"/>
      <c r="K33" s="549"/>
      <c r="L33" s="549"/>
      <c r="M33" s="549"/>
      <c r="N33" s="549"/>
      <c r="O33" s="550"/>
      <c r="P33" s="549"/>
      <c r="Q33" s="550"/>
      <c r="R33" s="549"/>
      <c r="S33" s="550"/>
      <c r="T33" s="550"/>
      <c r="U33" s="550"/>
      <c r="V33" s="549"/>
      <c r="W33" s="550"/>
      <c r="X33" s="550"/>
      <c r="Y33" s="549"/>
      <c r="Z33" s="523"/>
      <c r="AA33" s="523"/>
      <c r="AB33" s="523"/>
      <c r="AC33" s="523"/>
      <c r="AD33" s="523"/>
      <c r="AE33" s="523"/>
      <c r="AF33" s="565"/>
      <c r="AG33" s="568"/>
      <c r="AH33" s="533">
        <f t="shared" si="0"/>
        <v>0</v>
      </c>
    </row>
    <row r="34" spans="1:34" s="510" customFormat="1" ht="15" customHeight="1" x14ac:dyDescent="0.25">
      <c r="A34" s="534">
        <v>25</v>
      </c>
      <c r="B34" s="535">
        <f t="shared" si="1"/>
        <v>44957</v>
      </c>
      <c r="C34" s="551"/>
      <c r="D34" s="549"/>
      <c r="E34" s="549"/>
      <c r="F34" s="549"/>
      <c r="G34" s="549"/>
      <c r="H34" s="549"/>
      <c r="I34" s="549"/>
      <c r="J34" s="549"/>
      <c r="K34" s="549"/>
      <c r="L34" s="549"/>
      <c r="M34" s="549"/>
      <c r="N34" s="549"/>
      <c r="O34" s="550"/>
      <c r="P34" s="549"/>
      <c r="Q34" s="550"/>
      <c r="R34" s="549"/>
      <c r="S34" s="550"/>
      <c r="T34" s="550"/>
      <c r="U34" s="550"/>
      <c r="V34" s="549"/>
      <c r="W34" s="550"/>
      <c r="X34" s="550"/>
      <c r="Y34" s="550"/>
      <c r="Z34" s="549"/>
      <c r="AA34" s="523"/>
      <c r="AB34" s="523"/>
      <c r="AC34" s="523"/>
      <c r="AD34" s="523"/>
      <c r="AE34" s="523"/>
      <c r="AF34" s="565"/>
      <c r="AG34" s="568"/>
      <c r="AH34" s="533">
        <f t="shared" si="0"/>
        <v>0</v>
      </c>
    </row>
    <row r="35" spans="1:34" s="510" customFormat="1" ht="15" customHeight="1" x14ac:dyDescent="0.25">
      <c r="A35" s="534">
        <v>26</v>
      </c>
      <c r="B35" s="535">
        <f t="shared" si="1"/>
        <v>44926</v>
      </c>
      <c r="C35" s="551"/>
      <c r="D35" s="549"/>
      <c r="E35" s="549"/>
      <c r="F35" s="549"/>
      <c r="G35" s="549"/>
      <c r="H35" s="549"/>
      <c r="I35" s="549"/>
      <c r="J35" s="549"/>
      <c r="K35" s="549"/>
      <c r="L35" s="549"/>
      <c r="M35" s="549"/>
      <c r="N35" s="549"/>
      <c r="O35" s="550"/>
      <c r="P35" s="549"/>
      <c r="Q35" s="550"/>
      <c r="R35" s="549"/>
      <c r="S35" s="550"/>
      <c r="T35" s="550"/>
      <c r="U35" s="550"/>
      <c r="V35" s="549"/>
      <c r="W35" s="550"/>
      <c r="X35" s="550"/>
      <c r="Y35" s="550"/>
      <c r="Z35" s="549"/>
      <c r="AA35" s="549"/>
      <c r="AB35" s="523"/>
      <c r="AC35" s="523"/>
      <c r="AD35" s="523"/>
      <c r="AE35" s="523"/>
      <c r="AF35" s="565"/>
      <c r="AG35" s="568"/>
      <c r="AH35" s="533">
        <f t="shared" si="0"/>
        <v>0</v>
      </c>
    </row>
    <row r="36" spans="1:34" s="510" customFormat="1" ht="15" customHeight="1" x14ac:dyDescent="0.25">
      <c r="A36" s="534">
        <v>27</v>
      </c>
      <c r="B36" s="535">
        <f t="shared" si="1"/>
        <v>44895</v>
      </c>
      <c r="C36" s="551"/>
      <c r="D36" s="549"/>
      <c r="E36" s="549"/>
      <c r="F36" s="549"/>
      <c r="G36" s="549"/>
      <c r="H36" s="549"/>
      <c r="I36" s="549"/>
      <c r="J36" s="549"/>
      <c r="K36" s="549"/>
      <c r="L36" s="549"/>
      <c r="M36" s="549"/>
      <c r="N36" s="549"/>
      <c r="O36" s="550"/>
      <c r="P36" s="549"/>
      <c r="Q36" s="550"/>
      <c r="R36" s="549"/>
      <c r="S36" s="550"/>
      <c r="T36" s="550"/>
      <c r="U36" s="550"/>
      <c r="V36" s="549"/>
      <c r="W36" s="550"/>
      <c r="X36" s="550"/>
      <c r="Y36" s="550"/>
      <c r="Z36" s="549"/>
      <c r="AA36" s="550"/>
      <c r="AB36" s="549"/>
      <c r="AC36" s="523"/>
      <c r="AD36" s="523"/>
      <c r="AE36" s="523"/>
      <c r="AF36" s="565"/>
      <c r="AG36" s="568"/>
      <c r="AH36" s="533">
        <f t="shared" si="0"/>
        <v>0</v>
      </c>
    </row>
    <row r="37" spans="1:34" s="510" customFormat="1" ht="15" customHeight="1" x14ac:dyDescent="0.25">
      <c r="A37" s="534">
        <v>28</v>
      </c>
      <c r="B37" s="535">
        <f t="shared" si="1"/>
        <v>44865</v>
      </c>
      <c r="C37" s="551"/>
      <c r="D37" s="549"/>
      <c r="E37" s="549"/>
      <c r="F37" s="549"/>
      <c r="G37" s="549"/>
      <c r="H37" s="549"/>
      <c r="I37" s="549"/>
      <c r="J37" s="549"/>
      <c r="K37" s="549"/>
      <c r="L37" s="549"/>
      <c r="M37" s="549"/>
      <c r="N37" s="549"/>
      <c r="O37" s="550"/>
      <c r="P37" s="549"/>
      <c r="Q37" s="550"/>
      <c r="R37" s="549"/>
      <c r="S37" s="550"/>
      <c r="T37" s="550"/>
      <c r="U37" s="550"/>
      <c r="V37" s="549"/>
      <c r="W37" s="550"/>
      <c r="X37" s="550"/>
      <c r="Y37" s="550"/>
      <c r="Z37" s="549"/>
      <c r="AA37" s="550"/>
      <c r="AB37" s="549"/>
      <c r="AC37" s="549"/>
      <c r="AD37" s="523"/>
      <c r="AE37" s="523"/>
      <c r="AF37" s="565"/>
      <c r="AG37" s="568"/>
      <c r="AH37" s="533">
        <f t="shared" si="0"/>
        <v>0</v>
      </c>
    </row>
    <row r="38" spans="1:34" s="510" customFormat="1" ht="15" customHeight="1" x14ac:dyDescent="0.25">
      <c r="A38" s="534">
        <v>29</v>
      </c>
      <c r="B38" s="535">
        <f t="shared" si="1"/>
        <v>44834</v>
      </c>
      <c r="C38" s="551"/>
      <c r="D38" s="549"/>
      <c r="E38" s="549"/>
      <c r="F38" s="549"/>
      <c r="G38" s="549"/>
      <c r="H38" s="549"/>
      <c r="I38" s="549"/>
      <c r="J38" s="549"/>
      <c r="K38" s="549"/>
      <c r="L38" s="549"/>
      <c r="M38" s="549"/>
      <c r="N38" s="549"/>
      <c r="O38" s="550"/>
      <c r="P38" s="549"/>
      <c r="Q38" s="550"/>
      <c r="R38" s="549"/>
      <c r="S38" s="550"/>
      <c r="T38" s="550"/>
      <c r="U38" s="550"/>
      <c r="V38" s="549"/>
      <c r="W38" s="550"/>
      <c r="X38" s="550"/>
      <c r="Y38" s="550"/>
      <c r="Z38" s="549"/>
      <c r="AA38" s="550"/>
      <c r="AB38" s="549"/>
      <c r="AC38" s="549"/>
      <c r="AD38" s="549"/>
      <c r="AE38" s="523"/>
      <c r="AF38" s="565"/>
      <c r="AG38" s="568"/>
      <c r="AH38" s="533">
        <f t="shared" si="0"/>
        <v>0</v>
      </c>
    </row>
    <row r="39" spans="1:34" s="510" customFormat="1" ht="15" customHeight="1" x14ac:dyDescent="0.25">
      <c r="A39" s="534">
        <v>30</v>
      </c>
      <c r="B39" s="535">
        <f t="shared" si="1"/>
        <v>44804</v>
      </c>
      <c r="C39" s="551"/>
      <c r="D39" s="549"/>
      <c r="E39" s="549"/>
      <c r="F39" s="549"/>
      <c r="G39" s="549"/>
      <c r="H39" s="549"/>
      <c r="I39" s="549"/>
      <c r="J39" s="549"/>
      <c r="K39" s="549"/>
      <c r="L39" s="549"/>
      <c r="M39" s="549"/>
      <c r="N39" s="549"/>
      <c r="O39" s="550"/>
      <c r="P39" s="549"/>
      <c r="Q39" s="550"/>
      <c r="R39" s="549"/>
      <c r="S39" s="550"/>
      <c r="T39" s="550"/>
      <c r="U39" s="550"/>
      <c r="V39" s="549"/>
      <c r="W39" s="550"/>
      <c r="X39" s="550"/>
      <c r="Y39" s="550"/>
      <c r="Z39" s="549"/>
      <c r="AA39" s="550"/>
      <c r="AB39" s="549"/>
      <c r="AC39" s="549"/>
      <c r="AD39" s="549"/>
      <c r="AE39" s="549"/>
      <c r="AF39" s="565"/>
      <c r="AG39" s="568"/>
      <c r="AH39" s="533">
        <f>SUM(C39:AG39)</f>
        <v>0</v>
      </c>
    </row>
    <row r="40" spans="1:34" s="510" customFormat="1" ht="31.35" customHeight="1" thickBot="1" x14ac:dyDescent="0.3">
      <c r="A40" s="534">
        <v>31</v>
      </c>
      <c r="B40" s="535" t="s">
        <v>528</v>
      </c>
      <c r="C40" s="577"/>
      <c r="D40" s="551"/>
      <c r="E40" s="549"/>
      <c r="F40" s="549"/>
      <c r="G40" s="549"/>
      <c r="H40" s="549"/>
      <c r="I40" s="549"/>
      <c r="J40" s="549"/>
      <c r="K40" s="549"/>
      <c r="L40" s="549"/>
      <c r="M40" s="549"/>
      <c r="N40" s="549"/>
      <c r="O40" s="549"/>
      <c r="P40" s="550"/>
      <c r="Q40" s="549"/>
      <c r="R40" s="550"/>
      <c r="S40" s="549"/>
      <c r="T40" s="550"/>
      <c r="U40" s="550"/>
      <c r="V40" s="550"/>
      <c r="W40" s="549"/>
      <c r="X40" s="550"/>
      <c r="Y40" s="550"/>
      <c r="Z40" s="550"/>
      <c r="AA40" s="549"/>
      <c r="AB40" s="550"/>
      <c r="AC40" s="549"/>
      <c r="AD40" s="549"/>
      <c r="AE40" s="549"/>
      <c r="AF40" s="587"/>
      <c r="AG40" s="567">
        <v>139215006.30000013</v>
      </c>
      <c r="AH40" s="533">
        <f>SUM(C40:AG40)</f>
        <v>139215006.30000013</v>
      </c>
    </row>
    <row r="41" spans="1:34" s="510" customFormat="1" ht="40.35" customHeight="1" x14ac:dyDescent="0.25">
      <c r="A41" s="536">
        <v>32</v>
      </c>
      <c r="B41" s="537" t="s">
        <v>1307</v>
      </c>
      <c r="C41" s="555">
        <f>SUM(C10:C40)</f>
        <v>0</v>
      </c>
      <c r="D41" s="555">
        <f>SUM(D10:D40)</f>
        <v>2584266.6</v>
      </c>
      <c r="E41" s="555">
        <f t="shared" ref="E41:AC41" si="2">SUM(E10:E40)</f>
        <v>3093998.13</v>
      </c>
      <c r="F41" s="555">
        <f t="shared" si="2"/>
        <v>3594674.49</v>
      </c>
      <c r="G41" s="555">
        <f t="shared" si="2"/>
        <v>3248887.8099999996</v>
      </c>
      <c r="H41" s="555">
        <f t="shared" si="2"/>
        <v>3238489.3200000003</v>
      </c>
      <c r="I41" s="555">
        <f t="shared" si="2"/>
        <v>3233433.33</v>
      </c>
      <c r="J41" s="555">
        <f t="shared" si="2"/>
        <v>2965937.54</v>
      </c>
      <c r="K41" s="555">
        <f t="shared" si="2"/>
        <v>3222207.13</v>
      </c>
      <c r="L41" s="555">
        <f t="shared" si="2"/>
        <v>3026958.88</v>
      </c>
      <c r="M41" s="555">
        <f t="shared" si="2"/>
        <v>3113178.26</v>
      </c>
      <c r="N41" s="555">
        <f t="shared" si="2"/>
        <v>2793187</v>
      </c>
      <c r="O41" s="555">
        <f t="shared" si="2"/>
        <v>3028430.5</v>
      </c>
      <c r="P41" s="555">
        <f t="shared" si="2"/>
        <v>2693317.74</v>
      </c>
      <c r="Q41" s="555">
        <f t="shared" si="2"/>
        <v>2991009.7600000002</v>
      </c>
      <c r="R41" s="555">
        <f t="shared" si="2"/>
        <v>3157496.81</v>
      </c>
      <c r="S41" s="555">
        <f t="shared" si="2"/>
        <v>2955338.55</v>
      </c>
      <c r="T41" s="555">
        <f t="shared" si="2"/>
        <v>2961767.6799999997</v>
      </c>
      <c r="U41" s="555">
        <f t="shared" si="2"/>
        <v>2708104.26</v>
      </c>
      <c r="V41" s="555">
        <f t="shared" si="2"/>
        <v>2890915.7</v>
      </c>
      <c r="W41" s="555">
        <f t="shared" si="2"/>
        <v>3002671.25</v>
      </c>
      <c r="X41" s="555">
        <f t="shared" si="2"/>
        <v>0</v>
      </c>
      <c r="Y41" s="555">
        <f t="shared" si="2"/>
        <v>0</v>
      </c>
      <c r="Z41" s="555">
        <f t="shared" si="2"/>
        <v>0</v>
      </c>
      <c r="AA41" s="555">
        <f t="shared" si="2"/>
        <v>0</v>
      </c>
      <c r="AB41" s="555">
        <f t="shared" si="2"/>
        <v>0</v>
      </c>
      <c r="AC41" s="555">
        <f t="shared" si="2"/>
        <v>0</v>
      </c>
      <c r="AD41" s="555">
        <f>SUM(AD10:AD40)</f>
        <v>0</v>
      </c>
      <c r="AE41" s="555">
        <f>SUM(AE10:AE40)</f>
        <v>0</v>
      </c>
      <c r="AF41" s="555">
        <f>SUM(AF10:AF40)</f>
        <v>0</v>
      </c>
      <c r="AG41" s="579">
        <f>SUM(AG10:AG40)</f>
        <v>141245721.02000013</v>
      </c>
      <c r="AH41" s="556">
        <f>SUM(AH10:AH40)</f>
        <v>201749991.76000011</v>
      </c>
    </row>
    <row r="42" spans="1:34" s="510" customFormat="1" ht="40.35" customHeight="1" x14ac:dyDescent="0.25">
      <c r="A42" s="538">
        <v>33</v>
      </c>
      <c r="B42" s="539" t="s">
        <v>1441</v>
      </c>
      <c r="C42" s="525"/>
      <c r="D42" s="523"/>
      <c r="E42" s="523"/>
      <c r="F42" s="523"/>
      <c r="G42" s="526"/>
      <c r="H42" s="523"/>
      <c r="I42" s="523"/>
      <c r="J42" s="523"/>
      <c r="K42" s="523"/>
      <c r="L42" s="523"/>
      <c r="M42" s="523"/>
      <c r="N42" s="523"/>
      <c r="O42" s="524"/>
      <c r="P42" s="523"/>
      <c r="Q42" s="524"/>
      <c r="R42" s="523"/>
      <c r="S42" s="524"/>
      <c r="T42" s="524"/>
      <c r="U42" s="524"/>
      <c r="V42" s="523"/>
      <c r="W42" s="524"/>
      <c r="X42" s="524"/>
      <c r="Y42" s="524"/>
      <c r="Z42" s="523"/>
      <c r="AA42" s="524"/>
      <c r="AB42" s="523"/>
      <c r="AC42" s="524"/>
      <c r="AD42" s="524"/>
      <c r="AE42" s="523"/>
      <c r="AF42" s="589"/>
      <c r="AG42" s="526"/>
      <c r="AH42" s="533">
        <f>SUM(C42:AG42)</f>
        <v>0</v>
      </c>
    </row>
    <row r="43" spans="1:34" s="510" customFormat="1" ht="40.35" customHeight="1" x14ac:dyDescent="0.25">
      <c r="A43" s="538">
        <v>34</v>
      </c>
      <c r="B43" s="539" t="s">
        <v>522</v>
      </c>
      <c r="C43" s="512"/>
      <c r="D43" s="513"/>
      <c r="E43" s="513"/>
      <c r="F43" s="513"/>
      <c r="G43" s="513"/>
      <c r="H43" s="513"/>
      <c r="I43" s="513"/>
      <c r="J43" s="513"/>
      <c r="K43" s="513"/>
      <c r="L43" s="513"/>
      <c r="M43" s="513"/>
      <c r="N43" s="513"/>
      <c r="O43" s="514"/>
      <c r="P43" s="513"/>
      <c r="Q43" s="514"/>
      <c r="R43" s="513"/>
      <c r="S43" s="514"/>
      <c r="T43" s="514"/>
      <c r="U43" s="514"/>
      <c r="V43" s="513"/>
      <c r="W43" s="514"/>
      <c r="X43" s="514"/>
      <c r="Y43" s="514"/>
      <c r="Z43" s="513"/>
      <c r="AA43" s="514"/>
      <c r="AB43" s="513"/>
      <c r="AC43" s="514"/>
      <c r="AD43" s="570"/>
      <c r="AE43" s="680"/>
      <c r="AF43" s="590"/>
      <c r="AG43" s="588"/>
      <c r="AH43" s="515"/>
    </row>
    <row r="44" spans="1:34" s="510" customFormat="1" ht="40.35" customHeight="1" x14ac:dyDescent="0.25">
      <c r="A44" s="538">
        <v>35</v>
      </c>
      <c r="B44" s="540" t="s">
        <v>1347</v>
      </c>
      <c r="C44" s="525"/>
      <c r="D44" s="523"/>
      <c r="E44" s="523"/>
      <c r="F44" s="523"/>
      <c r="G44" s="526"/>
      <c r="H44" s="523"/>
      <c r="I44" s="523"/>
      <c r="J44" s="523"/>
      <c r="K44" s="523"/>
      <c r="L44" s="523"/>
      <c r="M44" s="523"/>
      <c r="N44" s="523"/>
      <c r="O44" s="524"/>
      <c r="P44" s="523"/>
      <c r="Q44" s="524"/>
      <c r="R44" s="523"/>
      <c r="S44" s="524"/>
      <c r="T44" s="524"/>
      <c r="U44" s="524"/>
      <c r="V44" s="523"/>
      <c r="W44" s="524"/>
      <c r="X44" s="524"/>
      <c r="Y44" s="524"/>
      <c r="Z44" s="523"/>
      <c r="AA44" s="524"/>
      <c r="AB44" s="523"/>
      <c r="AC44" s="524"/>
      <c r="AD44" s="524"/>
      <c r="AE44" s="523"/>
      <c r="AF44" s="589"/>
      <c r="AG44" s="526"/>
      <c r="AH44" s="529">
        <f>SUM(C44:AG44)</f>
        <v>0</v>
      </c>
    </row>
    <row r="45" spans="1:34" s="510" customFormat="1" ht="58.35" customHeight="1" x14ac:dyDescent="0.25">
      <c r="A45" s="538">
        <v>36</v>
      </c>
      <c r="B45" s="541" t="s">
        <v>1440</v>
      </c>
      <c r="C45" s="527">
        <f>SUM(C41:C44)</f>
        <v>0</v>
      </c>
      <c r="D45" s="527">
        <f>SUM(D41:D44)</f>
        <v>2584266.6</v>
      </c>
      <c r="E45" s="528">
        <f t="shared" ref="E45:AB45" si="3">SUM(E41:E44)</f>
        <v>3093998.13</v>
      </c>
      <c r="F45" s="528">
        <f>SUM(F41:F44)</f>
        <v>3594674.49</v>
      </c>
      <c r="G45" s="528">
        <f t="shared" si="3"/>
        <v>3248887.8099999996</v>
      </c>
      <c r="H45" s="528">
        <f t="shared" si="3"/>
        <v>3238489.3200000003</v>
      </c>
      <c r="I45" s="528">
        <f t="shared" si="3"/>
        <v>3233433.33</v>
      </c>
      <c r="J45" s="528">
        <f t="shared" si="3"/>
        <v>2965937.54</v>
      </c>
      <c r="K45" s="528">
        <f t="shared" si="3"/>
        <v>3222207.13</v>
      </c>
      <c r="L45" s="528">
        <f t="shared" si="3"/>
        <v>3026958.88</v>
      </c>
      <c r="M45" s="528">
        <f t="shared" si="3"/>
        <v>3113178.26</v>
      </c>
      <c r="N45" s="528">
        <f t="shared" si="3"/>
        <v>2793187</v>
      </c>
      <c r="O45" s="528">
        <f t="shared" si="3"/>
        <v>3028430.5</v>
      </c>
      <c r="P45" s="528">
        <f t="shared" si="3"/>
        <v>2693317.74</v>
      </c>
      <c r="Q45" s="528">
        <f t="shared" si="3"/>
        <v>2991009.7600000002</v>
      </c>
      <c r="R45" s="528">
        <f t="shared" si="3"/>
        <v>3157496.81</v>
      </c>
      <c r="S45" s="528">
        <f t="shared" si="3"/>
        <v>2955338.55</v>
      </c>
      <c r="T45" s="528">
        <f t="shared" si="3"/>
        <v>2961767.6799999997</v>
      </c>
      <c r="U45" s="528">
        <f t="shared" si="3"/>
        <v>2708104.26</v>
      </c>
      <c r="V45" s="528">
        <f t="shared" si="3"/>
        <v>2890915.7</v>
      </c>
      <c r="W45" s="528">
        <f t="shared" si="3"/>
        <v>3002671.25</v>
      </c>
      <c r="X45" s="528">
        <f t="shared" si="3"/>
        <v>0</v>
      </c>
      <c r="Y45" s="528">
        <f t="shared" si="3"/>
        <v>0</v>
      </c>
      <c r="Z45" s="528">
        <f t="shared" si="3"/>
        <v>0</v>
      </c>
      <c r="AA45" s="528">
        <f t="shared" si="3"/>
        <v>0</v>
      </c>
      <c r="AB45" s="528">
        <f t="shared" si="3"/>
        <v>0</v>
      </c>
      <c r="AC45" s="528">
        <f t="shared" ref="AC45:AH45" si="4">SUM(AC41:AC44)</f>
        <v>0</v>
      </c>
      <c r="AD45" s="528">
        <f t="shared" si="4"/>
        <v>0</v>
      </c>
      <c r="AE45" s="528">
        <f t="shared" si="4"/>
        <v>0</v>
      </c>
      <c r="AF45" s="528">
        <f t="shared" si="4"/>
        <v>0</v>
      </c>
      <c r="AG45" s="530">
        <f t="shared" si="4"/>
        <v>141245721.02000013</v>
      </c>
      <c r="AH45" s="529">
        <f t="shared" si="4"/>
        <v>201749991.76000011</v>
      </c>
    </row>
    <row r="46" spans="1:34" s="510" customFormat="1" ht="53.25" customHeight="1" x14ac:dyDescent="0.25">
      <c r="A46" s="538">
        <v>37</v>
      </c>
      <c r="B46" s="541" t="s">
        <v>523</v>
      </c>
      <c r="C46" s="525"/>
      <c r="D46" s="523">
        <v>43854.647116502398</v>
      </c>
      <c r="E46" s="523">
        <v>18928.340462007873</v>
      </c>
      <c r="F46" s="523">
        <v>14620.443771534285</v>
      </c>
      <c r="G46" s="526">
        <v>12249.01399400405</v>
      </c>
      <c r="H46" s="523">
        <v>8096.0530672721643</v>
      </c>
      <c r="I46" s="523">
        <v>4164.9009445558686</v>
      </c>
      <c r="J46" s="523">
        <v>2555.674649660511</v>
      </c>
      <c r="K46" s="523">
        <v>528.32492073755509</v>
      </c>
      <c r="L46" s="523">
        <v>976.80234912877847</v>
      </c>
      <c r="M46" s="523">
        <v>5.1875354062527028E-9</v>
      </c>
      <c r="N46" s="523">
        <v>0</v>
      </c>
      <c r="O46" s="524">
        <v>-9.2032344098504109E-9</v>
      </c>
      <c r="P46" s="523">
        <v>-2.8468696966026261E-9</v>
      </c>
      <c r="Q46" s="524">
        <v>8.6778204582913233E-10</v>
      </c>
      <c r="R46" s="523">
        <v>-2.2291245956411313E-9</v>
      </c>
      <c r="S46" s="524">
        <v>7.7335091936994818E-9</v>
      </c>
      <c r="T46" s="524">
        <v>0</v>
      </c>
      <c r="U46" s="524">
        <v>4.2019099558325623E-10</v>
      </c>
      <c r="V46" s="523">
        <v>1.3972565841501172E-9</v>
      </c>
      <c r="W46" s="524">
        <v>-4.2498595897511502E-9</v>
      </c>
      <c r="X46" s="524">
        <v>-2.2291245956411313E-9</v>
      </c>
      <c r="Y46" s="524">
        <v>7.7335091936994818E-9</v>
      </c>
      <c r="Z46" s="523">
        <v>0</v>
      </c>
      <c r="AA46" s="524">
        <v>4.2019099558325623E-10</v>
      </c>
      <c r="AB46" s="523">
        <v>1.3972565841501172E-9</v>
      </c>
      <c r="AC46" s="524">
        <v>-4.2498595897511502E-9</v>
      </c>
      <c r="AD46" s="524">
        <v>0</v>
      </c>
      <c r="AE46" s="523"/>
      <c r="AF46" s="589"/>
      <c r="AG46" s="526">
        <v>0</v>
      </c>
      <c r="AH46" s="529">
        <f>SUM(C46:AG46)</f>
        <v>105974.20127540361</v>
      </c>
    </row>
    <row r="47" spans="1:34" s="510" customFormat="1" ht="40.35" customHeight="1" thickBot="1" x14ac:dyDescent="0.3">
      <c r="A47" s="542">
        <v>38</v>
      </c>
      <c r="B47" s="543" t="s">
        <v>1415</v>
      </c>
      <c r="C47" s="531">
        <f>SUM(C45:C46)</f>
        <v>0</v>
      </c>
      <c r="D47" s="531">
        <f t="shared" ref="D47:AC47" si="5">SUM(D45:D46)</f>
        <v>2628121.2471165024</v>
      </c>
      <c r="E47" s="531">
        <f t="shared" si="5"/>
        <v>3112926.4704620079</v>
      </c>
      <c r="F47" s="531">
        <f t="shared" si="5"/>
        <v>3609294.9337715344</v>
      </c>
      <c r="G47" s="531">
        <f t="shared" si="5"/>
        <v>3261136.8239940037</v>
      </c>
      <c r="H47" s="531">
        <f t="shared" si="5"/>
        <v>3246585.3730672724</v>
      </c>
      <c r="I47" s="531">
        <f t="shared" si="5"/>
        <v>3237598.2309445557</v>
      </c>
      <c r="J47" s="531">
        <f t="shared" si="5"/>
        <v>2968493.2146496605</v>
      </c>
      <c r="K47" s="531">
        <f t="shared" si="5"/>
        <v>3222735.4549207375</v>
      </c>
      <c r="L47" s="531">
        <f t="shared" si="5"/>
        <v>3027935.6823491286</v>
      </c>
      <c r="M47" s="531">
        <f t="shared" si="5"/>
        <v>3113178.2600000049</v>
      </c>
      <c r="N47" s="531">
        <f t="shared" si="5"/>
        <v>2793187</v>
      </c>
      <c r="O47" s="531">
        <f t="shared" si="5"/>
        <v>3028430.4999999907</v>
      </c>
      <c r="P47" s="531">
        <f t="shared" si="5"/>
        <v>2693317.7399999974</v>
      </c>
      <c r="Q47" s="531">
        <f t="shared" si="5"/>
        <v>2991009.7600000012</v>
      </c>
      <c r="R47" s="531">
        <f t="shared" si="5"/>
        <v>3157496.8099999977</v>
      </c>
      <c r="S47" s="531">
        <f t="shared" si="5"/>
        <v>2955338.5500000077</v>
      </c>
      <c r="T47" s="531">
        <f t="shared" si="5"/>
        <v>2961767.6799999997</v>
      </c>
      <c r="U47" s="531">
        <f t="shared" si="5"/>
        <v>2708104.2600000002</v>
      </c>
      <c r="V47" s="531">
        <f t="shared" si="5"/>
        <v>2890915.7000000016</v>
      </c>
      <c r="W47" s="531">
        <f t="shared" si="5"/>
        <v>3002671.2499999958</v>
      </c>
      <c r="X47" s="531">
        <f t="shared" si="5"/>
        <v>-2.2291245956411313E-9</v>
      </c>
      <c r="Y47" s="531">
        <f t="shared" si="5"/>
        <v>7.7335091936994818E-9</v>
      </c>
      <c r="Z47" s="531">
        <f t="shared" si="5"/>
        <v>0</v>
      </c>
      <c r="AA47" s="531">
        <f t="shared" si="5"/>
        <v>4.2019099558325623E-10</v>
      </c>
      <c r="AB47" s="531">
        <f t="shared" si="5"/>
        <v>1.3972565841501172E-9</v>
      </c>
      <c r="AC47" s="531">
        <f t="shared" si="5"/>
        <v>-4.2498595897511502E-9</v>
      </c>
      <c r="AD47" s="531">
        <f>SUM(AD45:AD46)</f>
        <v>0</v>
      </c>
      <c r="AE47" s="531">
        <f>SUM(AE45:AE46)</f>
        <v>0</v>
      </c>
      <c r="AF47" s="531">
        <f>SUM(AF45:AF46)</f>
        <v>0</v>
      </c>
      <c r="AG47" s="566">
        <f>SUM(AG45:AG46)</f>
        <v>141245721.02000013</v>
      </c>
      <c r="AH47" s="532">
        <f>SUM(AH45:AH46)</f>
        <v>201855965.96127552</v>
      </c>
    </row>
  </sheetData>
  <sheetProtection algorithmName="SHA-512" hashValue="dt6KYk4l2FYwuVdt6ooSUMuyS58b1yeTnhOSOLm7A+9MtDWK53u+Nds5JoFUguDScF6qfz66gNylA1CBK8xUIw==" saltValue="yrPBXAv3pL3kto1AfWAUiw==" spinCount="100000" sheet="1" formatColumns="0"/>
  <pageMargins left="0.7" right="0.7" top="0.75" bottom="0.75" header="0.3" footer="0.3"/>
  <pageSetup scale="48" orientation="landscape" r:id="rId1"/>
  <headerFooter>
    <oddFooter>&amp;CPage &amp;P of &amp;N&amp;R&amp;D</oddFooter>
  </headerFooter>
  <colBreaks count="2" manualBreakCount="2">
    <brk id="14" max="1048575" man="1"/>
    <brk id="26"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sheetPr>
  <dimension ref="A1:DJ61"/>
  <sheetViews>
    <sheetView topLeftCell="I1" zoomScale="60" zoomScaleNormal="60" workbookViewId="0">
      <selection activeCell="AA45" sqref="AA45"/>
    </sheetView>
  </sheetViews>
  <sheetFormatPr defaultColWidth="8" defaultRowHeight="13.2" x14ac:dyDescent="0.25"/>
  <cols>
    <col min="1" max="1" width="6.5546875" style="507" bestFit="1" customWidth="1"/>
    <col min="2" max="2" width="24.5546875" style="516" customWidth="1"/>
    <col min="3" max="3" width="16.5546875" style="516" customWidth="1"/>
    <col min="4" max="28" width="16.5546875" style="506" customWidth="1"/>
    <col min="29" max="32" width="16.5546875" style="507" customWidth="1"/>
    <col min="33" max="33" width="29.44140625" style="509" bestFit="1" customWidth="1"/>
    <col min="34" max="34" width="16.5546875" style="509" customWidth="1"/>
    <col min="35" max="16384" width="8" style="509"/>
  </cols>
  <sheetData>
    <row r="1" spans="1:114" ht="15.6" x14ac:dyDescent="0.3">
      <c r="A1" s="475" t="s">
        <v>1303</v>
      </c>
      <c r="B1" s="504"/>
      <c r="C1" s="505"/>
      <c r="D1" s="478"/>
      <c r="E1" s="505"/>
      <c r="F1" s="505"/>
      <c r="AB1" s="507"/>
      <c r="AC1" s="508"/>
      <c r="AD1" s="508"/>
      <c r="AE1" s="508"/>
      <c r="AF1" s="508"/>
      <c r="AG1" s="508"/>
      <c r="AH1" s="508"/>
      <c r="AI1" s="508"/>
      <c r="AJ1" s="508"/>
      <c r="AK1" s="508"/>
      <c r="AL1" s="508"/>
      <c r="AM1" s="508"/>
      <c r="AN1" s="508"/>
      <c r="AO1" s="508"/>
      <c r="AP1" s="508"/>
      <c r="AQ1" s="508"/>
      <c r="AR1" s="508"/>
      <c r="AS1" s="508"/>
      <c r="AT1" s="508"/>
      <c r="AU1" s="508"/>
      <c r="AV1" s="508"/>
      <c r="AW1" s="508"/>
      <c r="AX1" s="508"/>
      <c r="AY1" s="508"/>
      <c r="AZ1" s="508"/>
      <c r="BA1" s="508"/>
      <c r="BB1" s="508"/>
      <c r="BC1" s="508"/>
      <c r="BD1" s="508"/>
      <c r="BE1" s="508"/>
      <c r="BF1" s="508"/>
      <c r="BG1" s="508"/>
      <c r="BH1" s="508"/>
      <c r="BI1" s="508"/>
      <c r="BJ1" s="508"/>
      <c r="BK1" s="508"/>
      <c r="BL1" s="508"/>
      <c r="BM1" s="508"/>
      <c r="BN1" s="508"/>
      <c r="BO1" s="508"/>
      <c r="BP1" s="508"/>
      <c r="BQ1" s="508"/>
      <c r="BR1" s="508"/>
      <c r="BS1" s="508"/>
      <c r="BT1" s="508"/>
      <c r="BU1" s="508"/>
      <c r="BV1" s="508"/>
      <c r="BW1" s="508"/>
      <c r="BX1" s="508"/>
      <c r="BY1" s="508"/>
      <c r="BZ1" s="508"/>
      <c r="CA1" s="508"/>
      <c r="CB1" s="508"/>
      <c r="CC1" s="508"/>
      <c r="CD1" s="508"/>
      <c r="CE1" s="508"/>
      <c r="CF1" s="508"/>
      <c r="CG1" s="508"/>
      <c r="CH1" s="508"/>
      <c r="CI1" s="508"/>
      <c r="CJ1" s="508"/>
      <c r="CK1" s="508"/>
      <c r="CL1" s="508"/>
      <c r="CM1" s="508"/>
      <c r="CN1" s="508"/>
      <c r="CO1" s="508"/>
      <c r="CP1" s="508"/>
      <c r="CQ1" s="508"/>
      <c r="CR1" s="508"/>
      <c r="CS1" s="508"/>
      <c r="CT1" s="508"/>
      <c r="CU1" s="508"/>
      <c r="CV1" s="508"/>
      <c r="CW1" s="508"/>
      <c r="CX1" s="508"/>
      <c r="CY1" s="508"/>
      <c r="CZ1" s="508"/>
      <c r="DA1" s="508"/>
      <c r="DB1" s="508"/>
      <c r="DC1" s="508"/>
      <c r="DD1" s="508"/>
      <c r="DE1" s="508"/>
      <c r="DF1" s="508"/>
      <c r="DG1" s="508"/>
      <c r="DH1" s="508"/>
      <c r="DI1" s="508"/>
      <c r="DJ1" s="508"/>
    </row>
    <row r="2" spans="1:114" x14ac:dyDescent="0.25">
      <c r="A2" s="201" t="s">
        <v>26</v>
      </c>
      <c r="B2" s="201"/>
      <c r="C2" s="445" t="str">
        <f>'Schedule 2_Balance Sheet'!C2</f>
        <v>Tufts Associated Health Plans, Inc. (TAHMO)</v>
      </c>
      <c r="D2" s="446"/>
      <c r="E2" s="446"/>
      <c r="F2" s="447"/>
      <c r="AB2" s="507"/>
      <c r="AC2" s="508"/>
      <c r="AD2" s="508"/>
      <c r="AE2" s="508"/>
      <c r="AF2" s="508"/>
      <c r="AG2" s="508"/>
      <c r="AH2" s="508"/>
      <c r="AI2" s="508"/>
      <c r="AJ2" s="508"/>
      <c r="AK2" s="508"/>
      <c r="AL2" s="508"/>
      <c r="AM2" s="508"/>
      <c r="AN2" s="508"/>
      <c r="AO2" s="508"/>
      <c r="AP2" s="508"/>
      <c r="AQ2" s="508"/>
      <c r="AR2" s="508"/>
      <c r="AS2" s="508"/>
      <c r="AT2" s="508"/>
      <c r="AU2" s="508"/>
      <c r="AV2" s="508"/>
      <c r="AW2" s="508"/>
      <c r="AX2" s="508"/>
      <c r="AY2" s="508"/>
      <c r="AZ2" s="508"/>
      <c r="BA2" s="508"/>
      <c r="BB2" s="508"/>
      <c r="BC2" s="508"/>
      <c r="BD2" s="508"/>
      <c r="BE2" s="508"/>
      <c r="BF2" s="508"/>
      <c r="BG2" s="508"/>
      <c r="BH2" s="508"/>
      <c r="BI2" s="508"/>
      <c r="BJ2" s="508"/>
      <c r="BK2" s="508"/>
      <c r="BL2" s="508"/>
      <c r="BM2" s="508"/>
      <c r="BN2" s="508"/>
      <c r="BO2" s="508"/>
      <c r="BP2" s="508"/>
      <c r="BQ2" s="508"/>
      <c r="BR2" s="508"/>
      <c r="BS2" s="508"/>
      <c r="BT2" s="508"/>
      <c r="BU2" s="508"/>
      <c r="BV2" s="508"/>
      <c r="BW2" s="508"/>
      <c r="BX2" s="508"/>
      <c r="BY2" s="508"/>
      <c r="BZ2" s="508"/>
      <c r="CA2" s="508"/>
      <c r="CB2" s="508"/>
      <c r="CC2" s="508"/>
      <c r="CD2" s="508"/>
      <c r="CE2" s="508"/>
      <c r="CF2" s="508"/>
      <c r="CG2" s="508"/>
      <c r="CH2" s="508"/>
      <c r="CI2" s="508"/>
      <c r="CJ2" s="508"/>
      <c r="CK2" s="508"/>
      <c r="CL2" s="508"/>
      <c r="CM2" s="508"/>
      <c r="CN2" s="508"/>
      <c r="CO2" s="508"/>
      <c r="CP2" s="508"/>
      <c r="CQ2" s="508"/>
      <c r="CR2" s="508"/>
      <c r="CS2" s="508"/>
      <c r="CT2" s="508"/>
      <c r="CU2" s="508"/>
      <c r="CV2" s="508"/>
      <c r="CW2" s="508"/>
      <c r="CX2" s="508"/>
      <c r="CY2" s="508"/>
      <c r="CZ2" s="508"/>
      <c r="DA2" s="508"/>
      <c r="DB2" s="508"/>
      <c r="DC2" s="508"/>
      <c r="DD2" s="508"/>
      <c r="DE2" s="508"/>
      <c r="DF2" s="508"/>
      <c r="DG2" s="508"/>
      <c r="DH2" s="508"/>
      <c r="DI2" s="508"/>
      <c r="DJ2" s="508"/>
    </row>
    <row r="3" spans="1:114" x14ac:dyDescent="0.25">
      <c r="A3" s="201" t="s">
        <v>0</v>
      </c>
      <c r="B3" s="201"/>
      <c r="C3" s="580" t="str">
        <f>'Schedule 2_Balance Sheet'!C3</f>
        <v>01/01/2024 - 12/31/2024</v>
      </c>
      <c r="D3" s="581"/>
      <c r="E3" s="581"/>
      <c r="F3" s="582"/>
      <c r="AB3" s="507"/>
      <c r="AC3" s="508"/>
      <c r="AD3" s="508"/>
      <c r="AE3" s="508"/>
      <c r="AF3" s="508"/>
      <c r="AG3" s="508"/>
      <c r="AH3" s="508"/>
      <c r="AI3" s="508"/>
      <c r="AJ3" s="508"/>
      <c r="AK3" s="508"/>
      <c r="AL3" s="508"/>
      <c r="AM3" s="508"/>
      <c r="AN3" s="508"/>
      <c r="AO3" s="508"/>
      <c r="AP3" s="508"/>
      <c r="AQ3" s="508"/>
      <c r="AR3" s="508"/>
      <c r="AS3" s="508"/>
      <c r="AT3" s="508"/>
      <c r="AU3" s="508"/>
      <c r="AV3" s="508"/>
      <c r="AW3" s="508"/>
      <c r="AX3" s="508"/>
      <c r="AY3" s="508"/>
      <c r="AZ3" s="508"/>
      <c r="BA3" s="508"/>
      <c r="BB3" s="508"/>
      <c r="BC3" s="508"/>
      <c r="BD3" s="508"/>
      <c r="BE3" s="508"/>
      <c r="BF3" s="508"/>
      <c r="BG3" s="508"/>
      <c r="BH3" s="508"/>
      <c r="BI3" s="508"/>
      <c r="BJ3" s="508"/>
      <c r="BK3" s="508"/>
      <c r="BL3" s="508"/>
      <c r="BM3" s="508"/>
      <c r="BN3" s="508"/>
      <c r="BO3" s="508"/>
      <c r="BP3" s="508"/>
      <c r="BQ3" s="508"/>
      <c r="BR3" s="508"/>
      <c r="BS3" s="508"/>
      <c r="BT3" s="508"/>
      <c r="BU3" s="508"/>
      <c r="BV3" s="508"/>
      <c r="BW3" s="508"/>
      <c r="BX3" s="508"/>
      <c r="BY3" s="508"/>
      <c r="BZ3" s="508"/>
      <c r="CA3" s="508"/>
      <c r="CB3" s="508"/>
      <c r="CC3" s="508"/>
      <c r="CD3" s="508"/>
      <c r="CE3" s="508"/>
      <c r="CF3" s="508"/>
      <c r="CG3" s="508"/>
      <c r="CH3" s="508"/>
      <c r="CI3" s="508"/>
      <c r="CJ3" s="508"/>
      <c r="CK3" s="508"/>
      <c r="CL3" s="508"/>
      <c r="CM3" s="508"/>
      <c r="CN3" s="508"/>
      <c r="CO3" s="508"/>
      <c r="CP3" s="508"/>
      <c r="CQ3" s="508"/>
      <c r="CR3" s="508"/>
      <c r="CS3" s="508"/>
      <c r="CT3" s="508"/>
      <c r="CU3" s="508"/>
      <c r="CV3" s="508"/>
      <c r="CW3" s="508"/>
      <c r="CX3" s="508"/>
      <c r="CY3" s="508"/>
      <c r="CZ3" s="508"/>
      <c r="DA3" s="508"/>
      <c r="DB3" s="508"/>
      <c r="DC3" s="508"/>
      <c r="DD3" s="508"/>
      <c r="DE3" s="508"/>
      <c r="DF3" s="508"/>
      <c r="DG3" s="508"/>
      <c r="DH3" s="508"/>
      <c r="DI3" s="508"/>
      <c r="DJ3" s="508"/>
    </row>
    <row r="4" spans="1:114" x14ac:dyDescent="0.25">
      <c r="A4" s="201" t="s">
        <v>27</v>
      </c>
      <c r="B4" s="201"/>
      <c r="C4" s="449">
        <f>'Schedule 2_Balance Sheet'!C4</f>
        <v>45657</v>
      </c>
      <c r="D4" s="446"/>
      <c r="E4" s="446"/>
      <c r="F4" s="447"/>
      <c r="AB4" s="507"/>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c r="CA4" s="508"/>
      <c r="CB4" s="508"/>
      <c r="CC4" s="508"/>
      <c r="CD4" s="508"/>
      <c r="CE4" s="508"/>
      <c r="CF4" s="508"/>
      <c r="CG4" s="508"/>
      <c r="CH4" s="508"/>
      <c r="CI4" s="508"/>
      <c r="CJ4" s="508"/>
      <c r="CK4" s="508"/>
      <c r="CL4" s="508"/>
      <c r="CM4" s="508"/>
      <c r="CN4" s="508"/>
      <c r="CO4" s="508"/>
      <c r="CP4" s="508"/>
      <c r="CQ4" s="508"/>
      <c r="CR4" s="508"/>
      <c r="CS4" s="508"/>
      <c r="CT4" s="508"/>
      <c r="CU4" s="508"/>
      <c r="CV4" s="508"/>
      <c r="CW4" s="508"/>
      <c r="CX4" s="508"/>
      <c r="CY4" s="508"/>
      <c r="CZ4" s="508"/>
      <c r="DA4" s="508"/>
      <c r="DB4" s="508"/>
      <c r="DC4" s="508"/>
      <c r="DD4" s="508"/>
      <c r="DE4" s="508"/>
      <c r="DF4" s="508"/>
      <c r="DG4" s="508"/>
      <c r="DH4" s="508"/>
      <c r="DI4" s="508"/>
      <c r="DJ4" s="508"/>
    </row>
    <row r="5" spans="1:114" x14ac:dyDescent="0.25">
      <c r="A5" s="201" t="s">
        <v>28</v>
      </c>
      <c r="B5" s="201"/>
      <c r="C5" s="445" t="str">
        <f>'Schedule 2_Balance Sheet'!C5</f>
        <v>Roshni Parikh</v>
      </c>
      <c r="D5" s="446"/>
      <c r="E5" s="446"/>
      <c r="F5" s="447"/>
      <c r="AB5" s="507"/>
      <c r="AC5" s="508"/>
      <c r="AD5" s="508"/>
      <c r="AE5" s="508"/>
      <c r="AF5" s="508"/>
      <c r="AG5" s="508"/>
      <c r="AH5" s="508"/>
      <c r="AI5" s="508"/>
      <c r="AJ5" s="508"/>
      <c r="AK5" s="508"/>
      <c r="AL5" s="508"/>
      <c r="AM5" s="508"/>
      <c r="AN5" s="508"/>
      <c r="AO5" s="508"/>
      <c r="AP5" s="508"/>
      <c r="AQ5" s="508"/>
      <c r="AR5" s="508"/>
      <c r="AS5" s="508"/>
      <c r="AT5" s="508"/>
      <c r="AU5" s="508"/>
      <c r="AV5" s="508"/>
      <c r="AW5" s="508"/>
      <c r="AX5" s="508"/>
      <c r="AY5" s="508"/>
      <c r="AZ5" s="508"/>
      <c r="BA5" s="508"/>
      <c r="BB5" s="508"/>
      <c r="BC5" s="508"/>
      <c r="BD5" s="508"/>
      <c r="BE5" s="508"/>
      <c r="BF5" s="508"/>
      <c r="BG5" s="508"/>
      <c r="BH5" s="508"/>
      <c r="BI5" s="508"/>
      <c r="BJ5" s="508"/>
      <c r="BK5" s="508"/>
      <c r="BL5" s="508"/>
      <c r="BM5" s="508"/>
      <c r="BN5" s="508"/>
      <c r="BO5" s="508"/>
      <c r="BP5" s="508"/>
      <c r="BQ5" s="508"/>
      <c r="BR5" s="508"/>
      <c r="BS5" s="508"/>
      <c r="BT5" s="508"/>
      <c r="BU5" s="508"/>
      <c r="BV5" s="508"/>
      <c r="BW5" s="508"/>
      <c r="BX5" s="508"/>
      <c r="BY5" s="508"/>
      <c r="BZ5" s="508"/>
      <c r="CA5" s="508"/>
      <c r="CB5" s="508"/>
      <c r="CC5" s="508"/>
      <c r="CD5" s="508"/>
      <c r="CE5" s="508"/>
      <c r="CF5" s="508"/>
      <c r="CG5" s="508"/>
      <c r="CH5" s="508"/>
      <c r="CI5" s="508"/>
      <c r="CJ5" s="508"/>
      <c r="CK5" s="508"/>
      <c r="CL5" s="508"/>
      <c r="CM5" s="508"/>
      <c r="CN5" s="508"/>
      <c r="CO5" s="508"/>
      <c r="CP5" s="508"/>
      <c r="CQ5" s="508"/>
      <c r="CR5" s="508"/>
      <c r="CS5" s="508"/>
      <c r="CT5" s="508"/>
      <c r="CU5" s="508"/>
      <c r="CV5" s="508"/>
      <c r="CW5" s="508"/>
      <c r="CX5" s="508"/>
      <c r="CY5" s="508"/>
      <c r="CZ5" s="508"/>
      <c r="DA5" s="508"/>
      <c r="DB5" s="508"/>
      <c r="DC5" s="508"/>
      <c r="DD5" s="508"/>
      <c r="DE5" s="508"/>
      <c r="DF5" s="508"/>
      <c r="DG5" s="508"/>
      <c r="DH5" s="508"/>
      <c r="DI5" s="508"/>
      <c r="DJ5" s="508"/>
    </row>
    <row r="6" spans="1:114" x14ac:dyDescent="0.25">
      <c r="A6" s="201" t="s">
        <v>29</v>
      </c>
      <c r="B6" s="201"/>
      <c r="C6" s="449">
        <f>'Schedule 2_Balance Sheet'!C6</f>
        <v>45657</v>
      </c>
      <c r="D6" s="446"/>
      <c r="E6" s="446"/>
      <c r="F6" s="447"/>
      <c r="AB6" s="507"/>
      <c r="AC6" s="508"/>
      <c r="AD6" s="508"/>
      <c r="AE6" s="508"/>
      <c r="AF6" s="508"/>
      <c r="AG6" s="508"/>
      <c r="AH6" s="508"/>
      <c r="AI6" s="508"/>
      <c r="AJ6" s="508"/>
      <c r="AK6" s="508"/>
      <c r="AL6" s="508"/>
      <c r="AM6" s="508"/>
      <c r="AN6" s="508"/>
      <c r="AO6" s="508"/>
      <c r="AP6" s="508"/>
      <c r="AQ6" s="508"/>
      <c r="AR6" s="508"/>
      <c r="AS6" s="508"/>
      <c r="AT6" s="508"/>
      <c r="AU6" s="508"/>
      <c r="AV6" s="508"/>
      <c r="AW6" s="508"/>
      <c r="AX6" s="508"/>
      <c r="AY6" s="508"/>
      <c r="AZ6" s="508"/>
      <c r="BA6" s="508"/>
      <c r="BB6" s="508"/>
      <c r="BC6" s="508"/>
      <c r="BD6" s="508"/>
      <c r="BE6" s="508"/>
      <c r="BF6" s="508"/>
      <c r="BG6" s="508"/>
      <c r="BH6" s="508"/>
      <c r="BI6" s="508"/>
      <c r="BJ6" s="508"/>
      <c r="BK6" s="508"/>
      <c r="BL6" s="508"/>
      <c r="BM6" s="508"/>
      <c r="BN6" s="508"/>
      <c r="BO6" s="508"/>
      <c r="BP6" s="508"/>
      <c r="BQ6" s="508"/>
      <c r="BR6" s="508"/>
      <c r="BS6" s="508"/>
      <c r="BT6" s="508"/>
      <c r="BU6" s="508"/>
      <c r="BV6" s="508"/>
      <c r="BW6" s="508"/>
      <c r="BX6" s="508"/>
      <c r="BY6" s="508"/>
      <c r="BZ6" s="508"/>
      <c r="CA6" s="508"/>
      <c r="CB6" s="508"/>
      <c r="CC6" s="508"/>
      <c r="CD6" s="508"/>
      <c r="CE6" s="508"/>
      <c r="CF6" s="508"/>
      <c r="CG6" s="508"/>
      <c r="CH6" s="508"/>
      <c r="CI6" s="508"/>
      <c r="CJ6" s="508"/>
      <c r="CK6" s="508"/>
      <c r="CL6" s="508"/>
      <c r="CM6" s="508"/>
      <c r="CN6" s="508"/>
      <c r="CO6" s="508"/>
      <c r="CP6" s="508"/>
      <c r="CQ6" s="508"/>
      <c r="CR6" s="508"/>
      <c r="CS6" s="508"/>
      <c r="CT6" s="508"/>
      <c r="CU6" s="508"/>
      <c r="CV6" s="508"/>
      <c r="CW6" s="508"/>
      <c r="CX6" s="508"/>
      <c r="CY6" s="508"/>
      <c r="CZ6" s="508"/>
      <c r="DA6" s="508"/>
      <c r="DB6" s="508"/>
      <c r="DC6" s="508"/>
      <c r="DD6" s="508"/>
      <c r="DE6" s="508"/>
      <c r="DF6" s="508"/>
      <c r="DG6" s="508"/>
      <c r="DH6" s="508"/>
      <c r="DI6" s="508"/>
      <c r="DJ6" s="508"/>
    </row>
    <row r="7" spans="1:114" ht="13.8" thickBot="1" x14ac:dyDescent="0.3">
      <c r="A7" s="199" t="s">
        <v>542</v>
      </c>
      <c r="B7" s="387"/>
      <c r="C7" s="387"/>
      <c r="D7" s="387"/>
      <c r="E7" s="387"/>
      <c r="F7" s="387"/>
      <c r="G7" s="387"/>
      <c r="H7" s="387"/>
      <c r="AB7" s="507"/>
      <c r="AC7" s="508"/>
      <c r="AD7" s="508"/>
      <c r="AE7" s="508"/>
      <c r="AF7" s="508"/>
      <c r="AG7" s="508"/>
      <c r="AH7" s="508"/>
      <c r="AI7" s="508"/>
      <c r="AJ7" s="508"/>
      <c r="AK7" s="508"/>
      <c r="AL7" s="508"/>
      <c r="AM7" s="508"/>
      <c r="AN7" s="508"/>
      <c r="AO7" s="508"/>
      <c r="AP7" s="508"/>
      <c r="AQ7" s="508"/>
      <c r="AR7" s="508"/>
      <c r="AS7" s="508"/>
      <c r="AT7" s="508"/>
      <c r="AU7" s="508"/>
      <c r="AV7" s="508"/>
      <c r="AW7" s="508"/>
      <c r="AX7" s="508"/>
      <c r="AY7" s="508"/>
      <c r="AZ7" s="508"/>
      <c r="BA7" s="508"/>
      <c r="BB7" s="508"/>
      <c r="BC7" s="508"/>
      <c r="BD7" s="508"/>
      <c r="BE7" s="508"/>
      <c r="BF7" s="508"/>
      <c r="BG7" s="508"/>
      <c r="BH7" s="508"/>
      <c r="BI7" s="508"/>
      <c r="BJ7" s="508"/>
      <c r="BK7" s="508"/>
      <c r="BL7" s="508"/>
      <c r="BM7" s="508"/>
      <c r="BN7" s="508"/>
      <c r="BO7" s="508"/>
      <c r="BP7" s="508"/>
      <c r="BQ7" s="508"/>
      <c r="BR7" s="508"/>
      <c r="BS7" s="508"/>
      <c r="BT7" s="508"/>
      <c r="BU7" s="508"/>
      <c r="BV7" s="508"/>
      <c r="BW7" s="508"/>
      <c r="BX7" s="508"/>
      <c r="BY7" s="508"/>
      <c r="BZ7" s="508"/>
      <c r="CA7" s="508"/>
      <c r="CB7" s="508"/>
      <c r="CC7" s="508"/>
      <c r="CD7" s="508"/>
      <c r="CE7" s="508"/>
      <c r="CF7" s="508"/>
      <c r="CG7" s="508"/>
      <c r="CH7" s="508"/>
      <c r="CI7" s="508"/>
      <c r="CJ7" s="508"/>
      <c r="CK7" s="508"/>
      <c r="CL7" s="508"/>
      <c r="CM7" s="508"/>
      <c r="CN7" s="508"/>
      <c r="CO7" s="508"/>
      <c r="CP7" s="508"/>
      <c r="CQ7" s="508"/>
      <c r="CR7" s="508"/>
      <c r="CS7" s="508"/>
      <c r="CT7" s="508"/>
      <c r="CU7" s="508"/>
      <c r="CV7" s="508"/>
      <c r="CW7" s="508"/>
      <c r="CX7" s="508"/>
      <c r="CY7" s="508"/>
      <c r="CZ7" s="508"/>
      <c r="DA7" s="508"/>
      <c r="DB7" s="508"/>
      <c r="DC7" s="508"/>
      <c r="DD7" s="508"/>
      <c r="DE7" s="508"/>
      <c r="DF7" s="508"/>
      <c r="DG7" s="508"/>
      <c r="DH7" s="508"/>
      <c r="DI7" s="508"/>
      <c r="DJ7" s="508"/>
    </row>
    <row r="8" spans="1:114" s="510" customFormat="1" ht="16.5" customHeight="1" thickBot="1" x14ac:dyDescent="0.3">
      <c r="A8" s="557"/>
      <c r="B8" s="558"/>
      <c r="C8" s="559" t="s">
        <v>519</v>
      </c>
      <c r="D8" s="559"/>
      <c r="E8" s="560"/>
      <c r="F8" s="560"/>
      <c r="G8" s="560"/>
      <c r="H8" s="559"/>
      <c r="I8" s="559"/>
      <c r="J8" s="560"/>
      <c r="K8" s="560"/>
      <c r="L8" s="561"/>
      <c r="M8" s="559" t="s">
        <v>519</v>
      </c>
      <c r="N8" s="559"/>
      <c r="O8" s="560"/>
      <c r="P8" s="561"/>
      <c r="Q8" s="560"/>
      <c r="R8" s="559"/>
      <c r="S8" s="559"/>
      <c r="T8" s="560"/>
      <c r="U8" s="560"/>
      <c r="V8" s="561"/>
      <c r="W8" s="559" t="s">
        <v>519</v>
      </c>
      <c r="X8" s="559"/>
      <c r="Y8" s="560"/>
      <c r="Z8" s="560"/>
      <c r="AA8" s="560"/>
      <c r="AB8" s="562"/>
      <c r="AC8" s="559"/>
      <c r="AD8" s="559"/>
      <c r="AE8" s="559"/>
      <c r="AF8" s="585"/>
      <c r="AG8" s="563"/>
      <c r="AH8" s="564"/>
    </row>
    <row r="9" spans="1:114" s="511" customFormat="1" ht="27" thickBot="1" x14ac:dyDescent="0.3">
      <c r="A9" s="553" t="s">
        <v>226</v>
      </c>
      <c r="B9" s="554" t="s">
        <v>520</v>
      </c>
      <c r="C9" s="545">
        <f t="array" ref="C9:AF9">TRANSPOSE(B10:B39)</f>
        <v>45688</v>
      </c>
      <c r="D9" s="546">
        <v>45657</v>
      </c>
      <c r="E9" s="546">
        <v>45626</v>
      </c>
      <c r="F9" s="546">
        <v>45596</v>
      </c>
      <c r="G9" s="546">
        <v>45565</v>
      </c>
      <c r="H9" s="546">
        <v>45535</v>
      </c>
      <c r="I9" s="546">
        <v>45504</v>
      </c>
      <c r="J9" s="546">
        <v>45473</v>
      </c>
      <c r="K9" s="546">
        <v>45443</v>
      </c>
      <c r="L9" s="546">
        <v>45412</v>
      </c>
      <c r="M9" s="546">
        <v>45382</v>
      </c>
      <c r="N9" s="546">
        <v>45351</v>
      </c>
      <c r="O9" s="547">
        <v>45322</v>
      </c>
      <c r="P9" s="546">
        <v>45291</v>
      </c>
      <c r="Q9" s="547">
        <v>45260</v>
      </c>
      <c r="R9" s="546">
        <v>45230</v>
      </c>
      <c r="S9" s="547">
        <v>45199</v>
      </c>
      <c r="T9" s="547">
        <v>45169</v>
      </c>
      <c r="U9" s="547">
        <v>45138</v>
      </c>
      <c r="V9" s="546">
        <v>45107</v>
      </c>
      <c r="W9" s="547">
        <v>45077</v>
      </c>
      <c r="X9" s="547">
        <v>45046</v>
      </c>
      <c r="Y9" s="547">
        <v>45016</v>
      </c>
      <c r="Z9" s="546">
        <v>44985</v>
      </c>
      <c r="AA9" s="547">
        <v>44957</v>
      </c>
      <c r="AB9" s="546">
        <v>44926</v>
      </c>
      <c r="AC9" s="547">
        <v>44895</v>
      </c>
      <c r="AD9" s="547">
        <v>44865</v>
      </c>
      <c r="AE9" s="546">
        <v>44834</v>
      </c>
      <c r="AF9" s="586">
        <v>44804</v>
      </c>
      <c r="AG9" s="544" t="s">
        <v>528</v>
      </c>
      <c r="AH9" s="548" t="s">
        <v>521</v>
      </c>
    </row>
    <row r="10" spans="1:114" s="511" customFormat="1" x14ac:dyDescent="0.25">
      <c r="A10" s="534">
        <v>1</v>
      </c>
      <c r="B10" s="578">
        <f>EOMONTH(B11,1)</f>
        <v>45688</v>
      </c>
      <c r="C10" s="522"/>
      <c r="D10" s="522">
        <v>763963.37</v>
      </c>
      <c r="E10" s="522">
        <v>1851908.97</v>
      </c>
      <c r="F10" s="522">
        <v>1610710.39</v>
      </c>
      <c r="G10" s="522">
        <v>207186.18</v>
      </c>
      <c r="H10" s="522">
        <v>36760.620000000003</v>
      </c>
      <c r="I10" s="522">
        <v>52324.32</v>
      </c>
      <c r="J10" s="522">
        <v>51757.06</v>
      </c>
      <c r="K10" s="522">
        <v>57461.43</v>
      </c>
      <c r="L10" s="522">
        <v>-16584.28</v>
      </c>
      <c r="M10" s="522">
        <v>-9635.1200000000008</v>
      </c>
      <c r="N10" s="522">
        <v>-17270.939999999999</v>
      </c>
      <c r="O10" s="522">
        <v>0</v>
      </c>
      <c r="P10" s="522">
        <v>-2630.32</v>
      </c>
      <c r="Q10" s="522">
        <v>0</v>
      </c>
      <c r="R10" s="522">
        <v>-32295.13</v>
      </c>
      <c r="S10" s="522">
        <v>-31524.29</v>
      </c>
      <c r="T10" s="522">
        <v>0</v>
      </c>
      <c r="U10" s="522">
        <v>0</v>
      </c>
      <c r="V10" s="522">
        <v>23498.41</v>
      </c>
      <c r="W10" s="522">
        <v>0</v>
      </c>
      <c r="X10" s="522"/>
      <c r="Y10" s="522"/>
      <c r="Z10" s="522"/>
      <c r="AA10" s="522"/>
      <c r="AB10" s="522"/>
      <c r="AC10" s="522"/>
      <c r="AD10" s="522"/>
      <c r="AE10" s="522"/>
      <c r="AF10" s="572"/>
      <c r="AG10" s="571">
        <v>-242915.21</v>
      </c>
      <c r="AH10" s="533">
        <f t="shared" ref="AH10:AH39" si="0">SUM(C10:AG10)</f>
        <v>4302715.4599999981</v>
      </c>
    </row>
    <row r="11" spans="1:114" s="511" customFormat="1" x14ac:dyDescent="0.25">
      <c r="A11" s="534">
        <v>2</v>
      </c>
      <c r="B11" s="535">
        <f>'Schedule 2_Balance Sheet'!C4</f>
        <v>45657</v>
      </c>
      <c r="C11" s="551"/>
      <c r="D11" s="584">
        <v>233008.19</v>
      </c>
      <c r="E11" s="584">
        <v>551843.54</v>
      </c>
      <c r="F11" s="584">
        <v>2685700.69</v>
      </c>
      <c r="G11" s="584">
        <v>938278.15</v>
      </c>
      <c r="H11" s="584">
        <v>98414.43</v>
      </c>
      <c r="I11" s="584">
        <v>-30477.46</v>
      </c>
      <c r="J11" s="584">
        <v>-50287.99</v>
      </c>
      <c r="K11" s="584">
        <v>-19302.23</v>
      </c>
      <c r="L11" s="584">
        <v>-39870.92</v>
      </c>
      <c r="M11" s="584">
        <v>-9682.0400000000009</v>
      </c>
      <c r="N11" s="584">
        <v>-18734.080000000002</v>
      </c>
      <c r="O11" s="584">
        <v>-2333.64</v>
      </c>
      <c r="P11" s="584">
        <v>0</v>
      </c>
      <c r="Q11" s="584">
        <v>0</v>
      </c>
      <c r="R11" s="584">
        <v>0</v>
      </c>
      <c r="S11" s="584">
        <v>0</v>
      </c>
      <c r="T11" s="584">
        <v>0</v>
      </c>
      <c r="U11" s="584">
        <v>0</v>
      </c>
      <c r="V11" s="584">
        <v>0</v>
      </c>
      <c r="W11" s="584">
        <v>0</v>
      </c>
      <c r="X11" s="584"/>
      <c r="Y11" s="584"/>
      <c r="Z11" s="584"/>
      <c r="AA11" s="584"/>
      <c r="AB11" s="584"/>
      <c r="AC11" s="584"/>
      <c r="AD11" s="584"/>
      <c r="AE11" s="584"/>
      <c r="AF11" s="573"/>
      <c r="AG11" s="569">
        <v>-14910.69</v>
      </c>
      <c r="AH11" s="533">
        <f t="shared" si="0"/>
        <v>4321645.9499999993</v>
      </c>
    </row>
    <row r="12" spans="1:114" s="510" customFormat="1" ht="15" customHeight="1" x14ac:dyDescent="0.25">
      <c r="A12" s="534">
        <v>3</v>
      </c>
      <c r="B12" s="535">
        <f>EOMONTH(B11,-1)</f>
        <v>45626</v>
      </c>
      <c r="C12" s="551"/>
      <c r="D12" s="551">
        <v>0</v>
      </c>
      <c r="E12" s="523">
        <v>295134.39</v>
      </c>
      <c r="F12" s="523">
        <v>1236924.49</v>
      </c>
      <c r="G12" s="523">
        <v>3985331.55</v>
      </c>
      <c r="H12" s="523">
        <v>2086356.85</v>
      </c>
      <c r="I12" s="523">
        <v>118680.67</v>
      </c>
      <c r="J12" s="523">
        <v>75755.509999999995</v>
      </c>
      <c r="K12" s="523">
        <v>57067.09</v>
      </c>
      <c r="L12" s="523">
        <v>256039.61</v>
      </c>
      <c r="M12" s="523">
        <v>106508.41</v>
      </c>
      <c r="N12" s="523">
        <v>-18161.09</v>
      </c>
      <c r="O12" s="523">
        <v>-6457.62</v>
      </c>
      <c r="P12" s="523">
        <v>23531.38</v>
      </c>
      <c r="Q12" s="523">
        <v>8493.64</v>
      </c>
      <c r="R12" s="523">
        <v>-21713.31</v>
      </c>
      <c r="S12" s="523">
        <v>0</v>
      </c>
      <c r="T12" s="523">
        <v>0</v>
      </c>
      <c r="U12" s="523">
        <v>0</v>
      </c>
      <c r="V12" s="523">
        <v>-8330.06</v>
      </c>
      <c r="W12" s="523">
        <v>0</v>
      </c>
      <c r="X12" s="523"/>
      <c r="Y12" s="523"/>
      <c r="Z12" s="523"/>
      <c r="AA12" s="523"/>
      <c r="AB12" s="523"/>
      <c r="AC12" s="523"/>
      <c r="AD12" s="523"/>
      <c r="AE12" s="523"/>
      <c r="AF12" s="565"/>
      <c r="AG12" s="569">
        <v>394.91</v>
      </c>
      <c r="AH12" s="533">
        <f t="shared" si="0"/>
        <v>8195556.4199999999</v>
      </c>
    </row>
    <row r="13" spans="1:114" s="510" customFormat="1" ht="15" customHeight="1" x14ac:dyDescent="0.25">
      <c r="A13" s="534">
        <v>4</v>
      </c>
      <c r="B13" s="535">
        <f t="shared" ref="B13:B39" si="1">EOMONTH(B12,-1)</f>
        <v>45596</v>
      </c>
      <c r="C13" s="551"/>
      <c r="D13" s="549">
        <v>0</v>
      </c>
      <c r="E13" s="551">
        <v>0</v>
      </c>
      <c r="F13" s="523">
        <v>111697.65</v>
      </c>
      <c r="G13" s="523">
        <v>544725.75</v>
      </c>
      <c r="H13" s="523">
        <v>2425791.5699999998</v>
      </c>
      <c r="I13" s="523">
        <v>1252184.73</v>
      </c>
      <c r="J13" s="523">
        <v>69820.84</v>
      </c>
      <c r="K13" s="523">
        <v>-4804.72</v>
      </c>
      <c r="L13" s="523">
        <v>-13068.87</v>
      </c>
      <c r="M13" s="523">
        <v>-20249.560000000001</v>
      </c>
      <c r="N13" s="523">
        <v>11398.87</v>
      </c>
      <c r="O13" s="523">
        <v>257.91000000000003</v>
      </c>
      <c r="P13" s="523">
        <v>-16212.01</v>
      </c>
      <c r="Q13" s="523">
        <v>-7148.75</v>
      </c>
      <c r="R13" s="523">
        <v>13728.54</v>
      </c>
      <c r="S13" s="524">
        <v>0</v>
      </c>
      <c r="T13" s="524">
        <v>-4185.95</v>
      </c>
      <c r="U13" s="524">
        <v>-8412.4699999999993</v>
      </c>
      <c r="V13" s="523">
        <v>0</v>
      </c>
      <c r="W13" s="523">
        <v>11206.08</v>
      </c>
      <c r="X13" s="524"/>
      <c r="Y13" s="524"/>
      <c r="Z13" s="523"/>
      <c r="AA13" s="523"/>
      <c r="AB13" s="523"/>
      <c r="AC13" s="523"/>
      <c r="AD13" s="523"/>
      <c r="AE13" s="523"/>
      <c r="AF13" s="565"/>
      <c r="AG13" s="567">
        <v>-40517.360000000001</v>
      </c>
      <c r="AH13" s="533">
        <f t="shared" si="0"/>
        <v>4326212.25</v>
      </c>
    </row>
    <row r="14" spans="1:114" s="510" customFormat="1" ht="15" customHeight="1" x14ac:dyDescent="0.25">
      <c r="A14" s="534">
        <v>5</v>
      </c>
      <c r="B14" s="535">
        <f t="shared" si="1"/>
        <v>45565</v>
      </c>
      <c r="C14" s="551"/>
      <c r="D14" s="549">
        <v>0</v>
      </c>
      <c r="E14" s="549">
        <v>0</v>
      </c>
      <c r="F14" s="551">
        <v>0</v>
      </c>
      <c r="G14" s="523">
        <v>177241.38</v>
      </c>
      <c r="H14" s="523">
        <v>554980.63</v>
      </c>
      <c r="I14" s="523">
        <v>913793.67</v>
      </c>
      <c r="J14" s="523">
        <v>1169723.5900000001</v>
      </c>
      <c r="K14" s="523">
        <v>133051.17000000001</v>
      </c>
      <c r="L14" s="523">
        <v>84451.96</v>
      </c>
      <c r="M14" s="523">
        <v>45625.51</v>
      </c>
      <c r="N14" s="523">
        <v>0</v>
      </c>
      <c r="O14" s="523">
        <v>4108.03</v>
      </c>
      <c r="P14" s="523">
        <v>1469.69</v>
      </c>
      <c r="Q14" s="523">
        <v>0</v>
      </c>
      <c r="R14" s="523">
        <v>0</v>
      </c>
      <c r="S14" s="524">
        <v>0</v>
      </c>
      <c r="T14" s="524">
        <v>0</v>
      </c>
      <c r="U14" s="524">
        <v>0</v>
      </c>
      <c r="V14" s="523">
        <v>0</v>
      </c>
      <c r="W14" s="523">
        <v>-86826.78</v>
      </c>
      <c r="X14" s="524"/>
      <c r="Y14" s="524"/>
      <c r="Z14" s="523"/>
      <c r="AA14" s="523"/>
      <c r="AB14" s="523"/>
      <c r="AC14" s="523"/>
      <c r="AD14" s="523"/>
      <c r="AE14" s="523"/>
      <c r="AF14" s="565"/>
      <c r="AG14" s="568">
        <v>-275806.24</v>
      </c>
      <c r="AH14" s="533">
        <f t="shared" si="0"/>
        <v>2721812.6100000003</v>
      </c>
    </row>
    <row r="15" spans="1:114" s="510" customFormat="1" ht="15" customHeight="1" x14ac:dyDescent="0.25">
      <c r="A15" s="534">
        <v>6</v>
      </c>
      <c r="B15" s="535">
        <f t="shared" si="1"/>
        <v>45535</v>
      </c>
      <c r="C15" s="551"/>
      <c r="D15" s="549">
        <v>0</v>
      </c>
      <c r="E15" s="549">
        <v>0</v>
      </c>
      <c r="F15" s="549">
        <v>0</v>
      </c>
      <c r="G15" s="551">
        <v>0</v>
      </c>
      <c r="H15" s="523">
        <v>224246.09</v>
      </c>
      <c r="I15" s="523">
        <v>2446715.7999999998</v>
      </c>
      <c r="J15" s="523">
        <v>3161793.38</v>
      </c>
      <c r="K15" s="523">
        <v>3236770.39</v>
      </c>
      <c r="L15" s="523">
        <v>55082.16</v>
      </c>
      <c r="M15" s="523">
        <v>61163.8</v>
      </c>
      <c r="N15" s="523">
        <v>87011.69</v>
      </c>
      <c r="O15" s="523">
        <v>19328.18</v>
      </c>
      <c r="P15" s="523">
        <v>-6824.6</v>
      </c>
      <c r="Q15" s="523">
        <v>-31151.46</v>
      </c>
      <c r="R15" s="523">
        <v>51093.09</v>
      </c>
      <c r="S15" s="524">
        <v>0</v>
      </c>
      <c r="T15" s="524">
        <v>0</v>
      </c>
      <c r="U15" s="524">
        <v>-3269.29</v>
      </c>
      <c r="V15" s="523">
        <v>0</v>
      </c>
      <c r="W15" s="523">
        <v>-16823.79</v>
      </c>
      <c r="X15" s="524"/>
      <c r="Y15" s="524"/>
      <c r="Z15" s="523"/>
      <c r="AA15" s="523"/>
      <c r="AB15" s="523"/>
      <c r="AC15" s="523"/>
      <c r="AD15" s="523"/>
      <c r="AE15" s="523"/>
      <c r="AF15" s="565"/>
      <c r="AG15" s="568">
        <v>-11239.08</v>
      </c>
      <c r="AH15" s="533">
        <f t="shared" si="0"/>
        <v>9273896.3600000013</v>
      </c>
    </row>
    <row r="16" spans="1:114" s="510" customFormat="1" ht="15" customHeight="1" x14ac:dyDescent="0.25">
      <c r="A16" s="534">
        <v>7</v>
      </c>
      <c r="B16" s="535">
        <f t="shared" si="1"/>
        <v>45504</v>
      </c>
      <c r="C16" s="551"/>
      <c r="D16" s="549">
        <v>0</v>
      </c>
      <c r="E16" s="549">
        <v>0</v>
      </c>
      <c r="F16" s="552">
        <v>0</v>
      </c>
      <c r="G16" s="549">
        <v>0</v>
      </c>
      <c r="H16" s="551">
        <v>0</v>
      </c>
      <c r="I16" s="523">
        <v>150025.20000000001</v>
      </c>
      <c r="J16" s="523">
        <v>320525.90999999997</v>
      </c>
      <c r="K16" s="523">
        <v>1726738.66</v>
      </c>
      <c r="L16" s="523">
        <v>1987574.24</v>
      </c>
      <c r="M16" s="523">
        <v>141847.54</v>
      </c>
      <c r="N16" s="523">
        <v>58606.7</v>
      </c>
      <c r="O16" s="523">
        <v>5648.06</v>
      </c>
      <c r="P16" s="523">
        <v>-5056.3900000000003</v>
      </c>
      <c r="Q16" s="523">
        <v>-20192.759999999998</v>
      </c>
      <c r="R16" s="523">
        <v>0</v>
      </c>
      <c r="S16" s="524">
        <v>25735.66</v>
      </c>
      <c r="T16" s="524">
        <v>0</v>
      </c>
      <c r="U16" s="524">
        <v>0</v>
      </c>
      <c r="V16" s="523">
        <v>0</v>
      </c>
      <c r="W16" s="523">
        <v>-20853.61</v>
      </c>
      <c r="X16" s="524"/>
      <c r="Y16" s="524"/>
      <c r="Z16" s="523"/>
      <c r="AA16" s="523"/>
      <c r="AB16" s="523"/>
      <c r="AC16" s="523"/>
      <c r="AD16" s="523"/>
      <c r="AE16" s="523"/>
      <c r="AF16" s="565"/>
      <c r="AG16" s="568">
        <v>-10323.4</v>
      </c>
      <c r="AH16" s="533">
        <f t="shared" si="0"/>
        <v>4360275.8099999996</v>
      </c>
    </row>
    <row r="17" spans="1:34" s="510" customFormat="1" ht="15" customHeight="1" x14ac:dyDescent="0.25">
      <c r="A17" s="534">
        <v>8</v>
      </c>
      <c r="B17" s="535">
        <f t="shared" si="1"/>
        <v>45473</v>
      </c>
      <c r="C17" s="551"/>
      <c r="D17" s="549">
        <v>0</v>
      </c>
      <c r="E17" s="549">
        <v>0</v>
      </c>
      <c r="F17" s="549">
        <v>0</v>
      </c>
      <c r="G17" s="549">
        <v>0</v>
      </c>
      <c r="H17" s="549">
        <v>0</v>
      </c>
      <c r="I17" s="551">
        <v>0</v>
      </c>
      <c r="J17" s="523">
        <v>98113.12</v>
      </c>
      <c r="K17" s="523">
        <v>196434.11</v>
      </c>
      <c r="L17" s="523">
        <v>2364894.42</v>
      </c>
      <c r="M17" s="523">
        <v>340724.23</v>
      </c>
      <c r="N17" s="523">
        <v>196294.2</v>
      </c>
      <c r="O17" s="523">
        <v>172656.03</v>
      </c>
      <c r="P17" s="523">
        <v>6904.13</v>
      </c>
      <c r="Q17" s="523">
        <v>6601.1</v>
      </c>
      <c r="R17" s="523">
        <v>1790.84</v>
      </c>
      <c r="S17" s="524">
        <v>-16358.88</v>
      </c>
      <c r="T17" s="524">
        <v>26323.94</v>
      </c>
      <c r="U17" s="524">
        <v>-2251.5700000000002</v>
      </c>
      <c r="V17" s="523">
        <v>0</v>
      </c>
      <c r="W17" s="523">
        <v>0</v>
      </c>
      <c r="X17" s="524"/>
      <c r="Y17" s="524"/>
      <c r="Z17" s="523"/>
      <c r="AA17" s="523"/>
      <c r="AB17" s="523"/>
      <c r="AC17" s="523"/>
      <c r="AD17" s="523"/>
      <c r="AE17" s="523"/>
      <c r="AF17" s="565"/>
      <c r="AG17" s="568">
        <v>14344.189999999999</v>
      </c>
      <c r="AH17" s="533">
        <f t="shared" si="0"/>
        <v>3406469.86</v>
      </c>
    </row>
    <row r="18" spans="1:34" s="510" customFormat="1" ht="15" customHeight="1" x14ac:dyDescent="0.25">
      <c r="A18" s="534">
        <v>9</v>
      </c>
      <c r="B18" s="535">
        <f t="shared" si="1"/>
        <v>45443</v>
      </c>
      <c r="C18" s="551"/>
      <c r="D18" s="549">
        <v>0</v>
      </c>
      <c r="E18" s="549">
        <v>0</v>
      </c>
      <c r="F18" s="549">
        <v>0</v>
      </c>
      <c r="G18" s="549">
        <v>0</v>
      </c>
      <c r="H18" s="549">
        <v>0</v>
      </c>
      <c r="I18" s="549">
        <v>0</v>
      </c>
      <c r="J18" s="551">
        <v>0</v>
      </c>
      <c r="K18" s="523">
        <v>272115.59999999998</v>
      </c>
      <c r="L18" s="523">
        <v>516933.25</v>
      </c>
      <c r="M18" s="523">
        <v>1128813.25</v>
      </c>
      <c r="N18" s="523">
        <v>419583.75</v>
      </c>
      <c r="O18" s="523">
        <v>55040.19</v>
      </c>
      <c r="P18" s="523">
        <v>156881.91</v>
      </c>
      <c r="Q18" s="523">
        <v>36279.54</v>
      </c>
      <c r="R18" s="523">
        <v>38794.019999999997</v>
      </c>
      <c r="S18" s="524">
        <v>19013.89</v>
      </c>
      <c r="T18" s="524">
        <v>5104.0600000000004</v>
      </c>
      <c r="U18" s="524">
        <v>-4816.3999999999996</v>
      </c>
      <c r="V18" s="523">
        <v>-14367.69</v>
      </c>
      <c r="W18" s="523">
        <v>-479.79</v>
      </c>
      <c r="X18" s="524"/>
      <c r="Y18" s="524"/>
      <c r="Z18" s="523"/>
      <c r="AA18" s="523"/>
      <c r="AB18" s="523"/>
      <c r="AC18" s="523"/>
      <c r="AD18" s="523"/>
      <c r="AE18" s="523"/>
      <c r="AF18" s="565"/>
      <c r="AG18" s="568">
        <v>323463.8</v>
      </c>
      <c r="AH18" s="533">
        <f t="shared" si="0"/>
        <v>2952359.3800000004</v>
      </c>
    </row>
    <row r="19" spans="1:34" s="510" customFormat="1" ht="15" customHeight="1" x14ac:dyDescent="0.25">
      <c r="A19" s="534">
        <v>10</v>
      </c>
      <c r="B19" s="535">
        <f t="shared" si="1"/>
        <v>45412</v>
      </c>
      <c r="C19" s="551"/>
      <c r="D19" s="549">
        <v>0</v>
      </c>
      <c r="E19" s="549">
        <v>0</v>
      </c>
      <c r="F19" s="549">
        <v>0</v>
      </c>
      <c r="G19" s="549">
        <v>0</v>
      </c>
      <c r="H19" s="549">
        <v>0</v>
      </c>
      <c r="I19" s="549">
        <v>0</v>
      </c>
      <c r="J19" s="549">
        <v>0</v>
      </c>
      <c r="K19" s="551">
        <v>0</v>
      </c>
      <c r="L19" s="523">
        <v>144618.78</v>
      </c>
      <c r="M19" s="523">
        <v>1693357.99</v>
      </c>
      <c r="N19" s="523">
        <v>1181563.52</v>
      </c>
      <c r="O19" s="523">
        <v>44389.69</v>
      </c>
      <c r="P19" s="523">
        <v>-12064.85</v>
      </c>
      <c r="Q19" s="523">
        <v>11627.02</v>
      </c>
      <c r="R19" s="523">
        <v>61133.89</v>
      </c>
      <c r="S19" s="524">
        <v>44717.03</v>
      </c>
      <c r="T19" s="524">
        <v>33570.21</v>
      </c>
      <c r="U19" s="524">
        <v>117604.19</v>
      </c>
      <c r="V19" s="523">
        <v>59433.75</v>
      </c>
      <c r="W19" s="523">
        <v>26003.200000000001</v>
      </c>
      <c r="X19" s="524"/>
      <c r="Y19" s="524"/>
      <c r="Z19" s="523"/>
      <c r="AA19" s="523"/>
      <c r="AB19" s="523"/>
      <c r="AC19" s="523"/>
      <c r="AD19" s="523"/>
      <c r="AE19" s="523"/>
      <c r="AF19" s="565"/>
      <c r="AG19" s="568">
        <v>-55108.71</v>
      </c>
      <c r="AH19" s="533">
        <f t="shared" si="0"/>
        <v>3350845.71</v>
      </c>
    </row>
    <row r="20" spans="1:34" s="510" customFormat="1" ht="15" customHeight="1" x14ac:dyDescent="0.25">
      <c r="A20" s="534">
        <v>11</v>
      </c>
      <c r="B20" s="535">
        <f t="shared" si="1"/>
        <v>45382</v>
      </c>
      <c r="C20" s="551"/>
      <c r="D20" s="549">
        <v>0</v>
      </c>
      <c r="E20" s="549">
        <v>0</v>
      </c>
      <c r="F20" s="549">
        <v>0</v>
      </c>
      <c r="G20" s="549">
        <v>0</v>
      </c>
      <c r="H20" s="549">
        <v>0</v>
      </c>
      <c r="I20" s="549">
        <v>0</v>
      </c>
      <c r="J20" s="549">
        <v>0</v>
      </c>
      <c r="K20" s="549">
        <v>0</v>
      </c>
      <c r="L20" s="551">
        <v>0</v>
      </c>
      <c r="M20" s="523">
        <v>1236520.55</v>
      </c>
      <c r="N20" s="523">
        <v>3212623.77</v>
      </c>
      <c r="O20" s="523">
        <v>1047222.96</v>
      </c>
      <c r="P20" s="523">
        <v>110472.67</v>
      </c>
      <c r="Q20" s="523">
        <v>-4641.13</v>
      </c>
      <c r="R20" s="523">
        <v>2477.2399999999998</v>
      </c>
      <c r="S20" s="524">
        <v>-6264.24</v>
      </c>
      <c r="T20" s="524">
        <v>-6663.66</v>
      </c>
      <c r="U20" s="524">
        <v>42687.63</v>
      </c>
      <c r="V20" s="523">
        <v>49.83</v>
      </c>
      <c r="W20" s="523">
        <v>-31541.78</v>
      </c>
      <c r="X20" s="524"/>
      <c r="Y20" s="524"/>
      <c r="Z20" s="523"/>
      <c r="AA20" s="523"/>
      <c r="AB20" s="523"/>
      <c r="AC20" s="523"/>
      <c r="AD20" s="523"/>
      <c r="AE20" s="523"/>
      <c r="AF20" s="565"/>
      <c r="AG20" s="568">
        <v>168636.97999999998</v>
      </c>
      <c r="AH20" s="533">
        <f t="shared" si="0"/>
        <v>5771580.8200000003</v>
      </c>
    </row>
    <row r="21" spans="1:34" s="510" customFormat="1" ht="15" customHeight="1" x14ac:dyDescent="0.25">
      <c r="A21" s="534">
        <v>12</v>
      </c>
      <c r="B21" s="535">
        <f t="shared" si="1"/>
        <v>45351</v>
      </c>
      <c r="C21" s="551"/>
      <c r="D21" s="549">
        <v>0</v>
      </c>
      <c r="E21" s="549">
        <v>0</v>
      </c>
      <c r="F21" s="549">
        <v>0</v>
      </c>
      <c r="G21" s="549">
        <v>0</v>
      </c>
      <c r="H21" s="549">
        <v>0</v>
      </c>
      <c r="I21" s="549">
        <v>0</v>
      </c>
      <c r="J21" s="549">
        <v>0</v>
      </c>
      <c r="K21" s="549">
        <v>0</v>
      </c>
      <c r="L21" s="549">
        <v>0</v>
      </c>
      <c r="M21" s="551">
        <v>0</v>
      </c>
      <c r="N21" s="523">
        <v>776274.33</v>
      </c>
      <c r="O21" s="523">
        <v>2798555.68</v>
      </c>
      <c r="P21" s="523">
        <v>1304773.46</v>
      </c>
      <c r="Q21" s="523">
        <v>163300.81</v>
      </c>
      <c r="R21" s="523">
        <v>161670.98000000001</v>
      </c>
      <c r="S21" s="524">
        <v>96974.03</v>
      </c>
      <c r="T21" s="524">
        <v>35367.019999999997</v>
      </c>
      <c r="U21" s="524">
        <v>21392.75</v>
      </c>
      <c r="V21" s="523">
        <v>-3282.76</v>
      </c>
      <c r="W21" s="523">
        <v>7778.67</v>
      </c>
      <c r="X21" s="524"/>
      <c r="Y21" s="524"/>
      <c r="Z21" s="523"/>
      <c r="AA21" s="523"/>
      <c r="AB21" s="523"/>
      <c r="AC21" s="523"/>
      <c r="AD21" s="523"/>
      <c r="AE21" s="523"/>
      <c r="AF21" s="565"/>
      <c r="AG21" s="568">
        <v>45495.53</v>
      </c>
      <c r="AH21" s="533">
        <f t="shared" si="0"/>
        <v>5408300.5000000009</v>
      </c>
    </row>
    <row r="22" spans="1:34" s="510" customFormat="1" ht="15" customHeight="1" x14ac:dyDescent="0.25">
      <c r="A22" s="534">
        <v>13</v>
      </c>
      <c r="B22" s="535">
        <f t="shared" si="1"/>
        <v>45322</v>
      </c>
      <c r="C22" s="551"/>
      <c r="D22" s="549">
        <v>0</v>
      </c>
      <c r="E22" s="549">
        <v>0</v>
      </c>
      <c r="F22" s="549">
        <v>0</v>
      </c>
      <c r="G22" s="549">
        <v>0</v>
      </c>
      <c r="H22" s="549">
        <v>0</v>
      </c>
      <c r="I22" s="549">
        <v>0</v>
      </c>
      <c r="J22" s="549">
        <v>0</v>
      </c>
      <c r="K22" s="549">
        <v>0</v>
      </c>
      <c r="L22" s="549">
        <v>0</v>
      </c>
      <c r="M22" s="549">
        <v>0</v>
      </c>
      <c r="N22" s="551">
        <v>0</v>
      </c>
      <c r="O22" s="523">
        <v>1228321.9099999999</v>
      </c>
      <c r="P22" s="523">
        <v>1926642.77</v>
      </c>
      <c r="Q22" s="523">
        <v>1885071.27</v>
      </c>
      <c r="R22" s="523">
        <v>1074812.6299999999</v>
      </c>
      <c r="S22" s="524">
        <v>62735.62</v>
      </c>
      <c r="T22" s="524">
        <v>27304.95</v>
      </c>
      <c r="U22" s="524">
        <v>38040.639999999999</v>
      </c>
      <c r="V22" s="523">
        <v>7932.09</v>
      </c>
      <c r="W22" s="523">
        <v>-9648.32</v>
      </c>
      <c r="X22" s="524"/>
      <c r="Y22" s="524"/>
      <c r="Z22" s="523"/>
      <c r="AA22" s="523"/>
      <c r="AB22" s="523"/>
      <c r="AC22" s="523"/>
      <c r="AD22" s="523"/>
      <c r="AE22" s="523"/>
      <c r="AF22" s="565"/>
      <c r="AG22" s="568">
        <v>-15387.949999999999</v>
      </c>
      <c r="AH22" s="533">
        <f t="shared" si="0"/>
        <v>6225825.6099999985</v>
      </c>
    </row>
    <row r="23" spans="1:34" s="510" customFormat="1" ht="15" customHeight="1" x14ac:dyDescent="0.25">
      <c r="A23" s="534">
        <v>14</v>
      </c>
      <c r="B23" s="535">
        <f t="shared" si="1"/>
        <v>45291</v>
      </c>
      <c r="C23" s="551"/>
      <c r="D23" s="549">
        <v>0</v>
      </c>
      <c r="E23" s="549">
        <v>0</v>
      </c>
      <c r="F23" s="549">
        <v>0</v>
      </c>
      <c r="G23" s="549">
        <v>0</v>
      </c>
      <c r="H23" s="549">
        <v>0</v>
      </c>
      <c r="I23" s="549">
        <v>0</v>
      </c>
      <c r="J23" s="549">
        <v>0</v>
      </c>
      <c r="K23" s="549">
        <v>0</v>
      </c>
      <c r="L23" s="549">
        <v>0</v>
      </c>
      <c r="M23" s="549">
        <v>0</v>
      </c>
      <c r="N23" s="549">
        <v>0</v>
      </c>
      <c r="O23" s="551">
        <v>0</v>
      </c>
      <c r="P23" s="523">
        <v>1479610.04</v>
      </c>
      <c r="Q23" s="523">
        <v>2779613.41</v>
      </c>
      <c r="R23" s="523">
        <v>869111.09</v>
      </c>
      <c r="S23" s="524">
        <v>327928.51</v>
      </c>
      <c r="T23" s="524">
        <v>18731.27</v>
      </c>
      <c r="U23" s="524">
        <v>26323.41</v>
      </c>
      <c r="V23" s="523">
        <v>33612.769999999997</v>
      </c>
      <c r="W23" s="523">
        <v>40624.720000000001</v>
      </c>
      <c r="X23" s="524"/>
      <c r="Y23" s="524"/>
      <c r="Z23" s="523"/>
      <c r="AA23" s="523"/>
      <c r="AB23" s="523"/>
      <c r="AC23" s="523"/>
      <c r="AD23" s="523"/>
      <c r="AE23" s="523"/>
      <c r="AF23" s="565"/>
      <c r="AG23" s="568">
        <v>71973.94</v>
      </c>
      <c r="AH23" s="533">
        <f t="shared" si="0"/>
        <v>5647529.1599999992</v>
      </c>
    </row>
    <row r="24" spans="1:34" s="510" customFormat="1" ht="15" customHeight="1" x14ac:dyDescent="0.25">
      <c r="A24" s="534">
        <v>15</v>
      </c>
      <c r="B24" s="535">
        <f t="shared" si="1"/>
        <v>45260</v>
      </c>
      <c r="C24" s="551"/>
      <c r="D24" s="549">
        <v>0</v>
      </c>
      <c r="E24" s="549">
        <v>0</v>
      </c>
      <c r="F24" s="549">
        <v>0</v>
      </c>
      <c r="G24" s="549">
        <v>0</v>
      </c>
      <c r="H24" s="549">
        <v>0</v>
      </c>
      <c r="I24" s="549">
        <v>0</v>
      </c>
      <c r="J24" s="549">
        <v>0</v>
      </c>
      <c r="K24" s="549">
        <v>0</v>
      </c>
      <c r="L24" s="549">
        <v>0</v>
      </c>
      <c r="M24" s="549">
        <v>0</v>
      </c>
      <c r="N24" s="549">
        <v>0</v>
      </c>
      <c r="O24" s="551">
        <v>0</v>
      </c>
      <c r="P24" s="551">
        <v>0</v>
      </c>
      <c r="Q24" s="523">
        <v>865613.77</v>
      </c>
      <c r="R24" s="523">
        <v>2389174.4300000002</v>
      </c>
      <c r="S24" s="524">
        <v>726110.38</v>
      </c>
      <c r="T24" s="524">
        <v>218651.32</v>
      </c>
      <c r="U24" s="524">
        <v>47530.93</v>
      </c>
      <c r="V24" s="523">
        <v>3077.31</v>
      </c>
      <c r="W24" s="523">
        <v>15978.77</v>
      </c>
      <c r="X24" s="524"/>
      <c r="Y24" s="524"/>
      <c r="Z24" s="523"/>
      <c r="AA24" s="523"/>
      <c r="AB24" s="523"/>
      <c r="AC24" s="523"/>
      <c r="AD24" s="523"/>
      <c r="AE24" s="523"/>
      <c r="AF24" s="565"/>
      <c r="AG24" s="568">
        <v>-930011.08999999985</v>
      </c>
      <c r="AH24" s="533">
        <f t="shared" si="0"/>
        <v>3336125.8199999994</v>
      </c>
    </row>
    <row r="25" spans="1:34" s="510" customFormat="1" ht="15" customHeight="1" x14ac:dyDescent="0.25">
      <c r="A25" s="534">
        <v>16</v>
      </c>
      <c r="B25" s="535">
        <f t="shared" si="1"/>
        <v>45230</v>
      </c>
      <c r="C25" s="551"/>
      <c r="D25" s="549">
        <v>0</v>
      </c>
      <c r="E25" s="549">
        <v>0</v>
      </c>
      <c r="F25" s="549">
        <v>0</v>
      </c>
      <c r="G25" s="549">
        <v>0</v>
      </c>
      <c r="H25" s="549">
        <v>0</v>
      </c>
      <c r="I25" s="549">
        <v>0</v>
      </c>
      <c r="J25" s="549">
        <v>0</v>
      </c>
      <c r="K25" s="549">
        <v>0</v>
      </c>
      <c r="L25" s="549">
        <v>0</v>
      </c>
      <c r="M25" s="549">
        <v>0</v>
      </c>
      <c r="N25" s="549">
        <v>0</v>
      </c>
      <c r="O25" s="550">
        <v>0</v>
      </c>
      <c r="P25" s="549">
        <v>0</v>
      </c>
      <c r="Q25" s="551">
        <v>0</v>
      </c>
      <c r="R25" s="523">
        <v>1133543.17</v>
      </c>
      <c r="S25" s="524">
        <v>2474035.81</v>
      </c>
      <c r="T25" s="524">
        <v>741522</v>
      </c>
      <c r="U25" s="524">
        <v>293541.65000000002</v>
      </c>
      <c r="V25" s="523">
        <v>149947.24</v>
      </c>
      <c r="W25" s="523">
        <v>122676.97</v>
      </c>
      <c r="X25" s="524"/>
      <c r="Y25" s="524"/>
      <c r="Z25" s="523"/>
      <c r="AA25" s="523"/>
      <c r="AB25" s="523"/>
      <c r="AC25" s="523"/>
      <c r="AD25" s="523"/>
      <c r="AE25" s="523"/>
      <c r="AF25" s="565"/>
      <c r="AG25" s="568">
        <v>49111.500000000015</v>
      </c>
      <c r="AH25" s="533">
        <f t="shared" si="0"/>
        <v>4964378.3400000008</v>
      </c>
    </row>
    <row r="26" spans="1:34" s="510" customFormat="1" ht="15" customHeight="1" x14ac:dyDescent="0.25">
      <c r="A26" s="534">
        <v>17</v>
      </c>
      <c r="B26" s="535">
        <f t="shared" si="1"/>
        <v>45199</v>
      </c>
      <c r="C26" s="551"/>
      <c r="D26" s="549">
        <v>0</v>
      </c>
      <c r="E26" s="549">
        <v>0</v>
      </c>
      <c r="F26" s="549">
        <v>0</v>
      </c>
      <c r="G26" s="549">
        <v>0</v>
      </c>
      <c r="H26" s="549">
        <v>0</v>
      </c>
      <c r="I26" s="549">
        <v>0</v>
      </c>
      <c r="J26" s="549">
        <v>0</v>
      </c>
      <c r="K26" s="549">
        <v>0</v>
      </c>
      <c r="L26" s="549">
        <v>0</v>
      </c>
      <c r="M26" s="549">
        <v>0</v>
      </c>
      <c r="N26" s="549">
        <v>0</v>
      </c>
      <c r="O26" s="550">
        <v>0</v>
      </c>
      <c r="P26" s="549">
        <v>0</v>
      </c>
      <c r="Q26" s="549">
        <v>0</v>
      </c>
      <c r="R26" s="551">
        <v>0</v>
      </c>
      <c r="S26" s="524">
        <v>1633227.39</v>
      </c>
      <c r="T26" s="524">
        <v>2317080.8199999998</v>
      </c>
      <c r="U26" s="524">
        <v>1093970.3999999999</v>
      </c>
      <c r="V26" s="523">
        <v>241597.29</v>
      </c>
      <c r="W26" s="523">
        <v>62372.45</v>
      </c>
      <c r="X26" s="524"/>
      <c r="Y26" s="524"/>
      <c r="Z26" s="523"/>
      <c r="AA26" s="523"/>
      <c r="AB26" s="523"/>
      <c r="AC26" s="523"/>
      <c r="AD26" s="523"/>
      <c r="AE26" s="523"/>
      <c r="AF26" s="573"/>
      <c r="AG26" s="568">
        <v>219618.28000000003</v>
      </c>
      <c r="AH26" s="533">
        <f t="shared" si="0"/>
        <v>5567866.6299999999</v>
      </c>
    </row>
    <row r="27" spans="1:34" s="510" customFormat="1" ht="15" customHeight="1" x14ac:dyDescent="0.25">
      <c r="A27" s="534">
        <v>18</v>
      </c>
      <c r="B27" s="535">
        <f t="shared" si="1"/>
        <v>45169</v>
      </c>
      <c r="C27" s="551"/>
      <c r="D27" s="549">
        <v>0</v>
      </c>
      <c r="E27" s="549">
        <v>0</v>
      </c>
      <c r="F27" s="549">
        <v>0</v>
      </c>
      <c r="G27" s="549">
        <v>0</v>
      </c>
      <c r="H27" s="549">
        <v>0</v>
      </c>
      <c r="I27" s="549">
        <v>0</v>
      </c>
      <c r="J27" s="549">
        <v>0</v>
      </c>
      <c r="K27" s="549">
        <v>0</v>
      </c>
      <c r="L27" s="549">
        <v>0</v>
      </c>
      <c r="M27" s="549">
        <v>0</v>
      </c>
      <c r="N27" s="549">
        <v>0</v>
      </c>
      <c r="O27" s="550">
        <v>0</v>
      </c>
      <c r="P27" s="549">
        <v>0</v>
      </c>
      <c r="Q27" s="550">
        <v>0</v>
      </c>
      <c r="R27" s="549">
        <v>0</v>
      </c>
      <c r="S27" s="551">
        <v>0</v>
      </c>
      <c r="T27" s="524">
        <v>931981.4</v>
      </c>
      <c r="U27" s="524">
        <v>2044238.03</v>
      </c>
      <c r="V27" s="523">
        <v>974841.76</v>
      </c>
      <c r="W27" s="523">
        <v>238815.54</v>
      </c>
      <c r="X27" s="524"/>
      <c r="Y27" s="524"/>
      <c r="Z27" s="523"/>
      <c r="AA27" s="523"/>
      <c r="AB27" s="523"/>
      <c r="AC27" s="523"/>
      <c r="AD27" s="523"/>
      <c r="AE27" s="523"/>
      <c r="AF27" s="565"/>
      <c r="AG27" s="574">
        <v>96291.599999999991</v>
      </c>
      <c r="AH27" s="533">
        <f t="shared" si="0"/>
        <v>4286168.33</v>
      </c>
    </row>
    <row r="28" spans="1:34" s="510" customFormat="1" ht="15" customHeight="1" x14ac:dyDescent="0.25">
      <c r="A28" s="534">
        <v>19</v>
      </c>
      <c r="B28" s="535">
        <f t="shared" si="1"/>
        <v>45138</v>
      </c>
      <c r="C28" s="551"/>
      <c r="D28" s="549">
        <v>0</v>
      </c>
      <c r="E28" s="549">
        <v>0</v>
      </c>
      <c r="F28" s="549">
        <v>0</v>
      </c>
      <c r="G28" s="549">
        <v>0</v>
      </c>
      <c r="H28" s="549">
        <v>0</v>
      </c>
      <c r="I28" s="549">
        <v>0</v>
      </c>
      <c r="J28" s="549">
        <v>0</v>
      </c>
      <c r="K28" s="549">
        <v>0</v>
      </c>
      <c r="L28" s="549">
        <v>0</v>
      </c>
      <c r="M28" s="549">
        <v>0</v>
      </c>
      <c r="N28" s="549">
        <v>0</v>
      </c>
      <c r="O28" s="550">
        <v>0</v>
      </c>
      <c r="P28" s="549">
        <v>0</v>
      </c>
      <c r="Q28" s="550">
        <v>0</v>
      </c>
      <c r="R28" s="549">
        <v>0</v>
      </c>
      <c r="S28" s="549">
        <v>0</v>
      </c>
      <c r="T28" s="551">
        <v>0</v>
      </c>
      <c r="U28" s="524">
        <v>959423.05</v>
      </c>
      <c r="V28" s="523">
        <v>2532201.29</v>
      </c>
      <c r="W28" s="523">
        <v>825804.28</v>
      </c>
      <c r="X28" s="524"/>
      <c r="Y28" s="524"/>
      <c r="Z28" s="523"/>
      <c r="AA28" s="523"/>
      <c r="AB28" s="523"/>
      <c r="AC28" s="523"/>
      <c r="AD28" s="523"/>
      <c r="AE28" s="523"/>
      <c r="AF28" s="565"/>
      <c r="AG28" s="569">
        <v>2647359.4699999997</v>
      </c>
      <c r="AH28" s="533">
        <f t="shared" si="0"/>
        <v>6964788.0899999999</v>
      </c>
    </row>
    <row r="29" spans="1:34" s="510" customFormat="1" ht="15" customHeight="1" x14ac:dyDescent="0.25">
      <c r="A29" s="534">
        <v>20</v>
      </c>
      <c r="B29" s="535">
        <f t="shared" si="1"/>
        <v>45107</v>
      </c>
      <c r="C29" s="551"/>
      <c r="D29" s="549">
        <v>0</v>
      </c>
      <c r="E29" s="549">
        <v>0</v>
      </c>
      <c r="F29" s="549">
        <v>0</v>
      </c>
      <c r="G29" s="549">
        <v>0</v>
      </c>
      <c r="H29" s="549">
        <v>0</v>
      </c>
      <c r="I29" s="549">
        <v>0</v>
      </c>
      <c r="J29" s="549">
        <v>0</v>
      </c>
      <c r="K29" s="549">
        <v>0</v>
      </c>
      <c r="L29" s="549">
        <v>0</v>
      </c>
      <c r="M29" s="549">
        <v>0</v>
      </c>
      <c r="N29" s="549">
        <v>0</v>
      </c>
      <c r="O29" s="550">
        <v>0</v>
      </c>
      <c r="P29" s="549">
        <v>0</v>
      </c>
      <c r="Q29" s="550">
        <v>0</v>
      </c>
      <c r="R29" s="549">
        <v>0</v>
      </c>
      <c r="S29" s="550">
        <v>0</v>
      </c>
      <c r="T29" s="549">
        <v>0</v>
      </c>
      <c r="U29" s="551">
        <v>0</v>
      </c>
      <c r="V29" s="523">
        <v>734314.81</v>
      </c>
      <c r="W29" s="523">
        <v>1966395.5</v>
      </c>
      <c r="X29" s="524"/>
      <c r="Y29" s="524"/>
      <c r="Z29" s="523"/>
      <c r="AA29" s="523"/>
      <c r="AB29" s="523"/>
      <c r="AC29" s="523"/>
      <c r="AD29" s="523"/>
      <c r="AE29" s="523"/>
      <c r="AF29" s="565"/>
      <c r="AG29" s="568">
        <v>1427910.27</v>
      </c>
      <c r="AH29" s="533">
        <f t="shared" si="0"/>
        <v>4128620.58</v>
      </c>
    </row>
    <row r="30" spans="1:34" s="510" customFormat="1" ht="15" customHeight="1" x14ac:dyDescent="0.25">
      <c r="A30" s="534">
        <v>21</v>
      </c>
      <c r="B30" s="535">
        <f t="shared" si="1"/>
        <v>45077</v>
      </c>
      <c r="C30" s="551"/>
      <c r="D30" s="549">
        <v>0</v>
      </c>
      <c r="E30" s="549">
        <v>0</v>
      </c>
      <c r="F30" s="549">
        <v>0</v>
      </c>
      <c r="G30" s="549">
        <v>0</v>
      </c>
      <c r="H30" s="549">
        <v>0</v>
      </c>
      <c r="I30" s="549">
        <v>0</v>
      </c>
      <c r="J30" s="549">
        <v>0</v>
      </c>
      <c r="K30" s="549">
        <v>0</v>
      </c>
      <c r="L30" s="549">
        <v>0</v>
      </c>
      <c r="M30" s="549">
        <v>0</v>
      </c>
      <c r="N30" s="549">
        <v>0</v>
      </c>
      <c r="O30" s="550">
        <v>0</v>
      </c>
      <c r="P30" s="549">
        <v>0</v>
      </c>
      <c r="Q30" s="550">
        <v>0</v>
      </c>
      <c r="R30" s="549">
        <v>0</v>
      </c>
      <c r="S30" s="550">
        <v>0</v>
      </c>
      <c r="T30" s="550">
        <v>0</v>
      </c>
      <c r="U30" s="550">
        <v>0</v>
      </c>
      <c r="V30" s="549">
        <v>0</v>
      </c>
      <c r="W30" s="523">
        <v>1085610.6499999999</v>
      </c>
      <c r="X30" s="524"/>
      <c r="Y30" s="524"/>
      <c r="Z30" s="523"/>
      <c r="AA30" s="523"/>
      <c r="AB30" s="523"/>
      <c r="AC30" s="523"/>
      <c r="AD30" s="523"/>
      <c r="AE30" s="523"/>
      <c r="AF30" s="565"/>
      <c r="AG30" s="568">
        <v>4417740.8500000015</v>
      </c>
      <c r="AH30" s="533">
        <f t="shared" si="0"/>
        <v>5503351.5000000019</v>
      </c>
    </row>
    <row r="31" spans="1:34" s="510" customFormat="1" ht="15" customHeight="1" x14ac:dyDescent="0.25">
      <c r="A31" s="534">
        <v>22</v>
      </c>
      <c r="B31" s="535">
        <f t="shared" si="1"/>
        <v>45046</v>
      </c>
      <c r="C31" s="551"/>
      <c r="D31" s="549">
        <v>0</v>
      </c>
      <c r="E31" s="549">
        <v>0</v>
      </c>
      <c r="F31" s="549">
        <v>0</v>
      </c>
      <c r="G31" s="549">
        <v>0</v>
      </c>
      <c r="H31" s="549">
        <v>0</v>
      </c>
      <c r="I31" s="549">
        <v>0</v>
      </c>
      <c r="J31" s="549">
        <v>0</v>
      </c>
      <c r="K31" s="549">
        <v>0</v>
      </c>
      <c r="L31" s="549">
        <v>0</v>
      </c>
      <c r="M31" s="549">
        <v>0</v>
      </c>
      <c r="N31" s="549">
        <v>0</v>
      </c>
      <c r="O31" s="550">
        <v>0</v>
      </c>
      <c r="P31" s="549">
        <v>0</v>
      </c>
      <c r="Q31" s="550">
        <v>0</v>
      </c>
      <c r="R31" s="549">
        <v>0</v>
      </c>
      <c r="S31" s="550">
        <v>0</v>
      </c>
      <c r="T31" s="550">
        <v>0</v>
      </c>
      <c r="U31" s="550">
        <v>0</v>
      </c>
      <c r="V31" s="549">
        <v>0</v>
      </c>
      <c r="W31" s="549">
        <v>0</v>
      </c>
      <c r="X31" s="524"/>
      <c r="Y31" s="524"/>
      <c r="Z31" s="523"/>
      <c r="AA31" s="523"/>
      <c r="AB31" s="523"/>
      <c r="AC31" s="523"/>
      <c r="AD31" s="523"/>
      <c r="AE31" s="523"/>
      <c r="AF31" s="565"/>
      <c r="AG31" s="568"/>
      <c r="AH31" s="533">
        <f t="shared" si="0"/>
        <v>0</v>
      </c>
    </row>
    <row r="32" spans="1:34" s="510" customFormat="1" ht="15" customHeight="1" x14ac:dyDescent="0.25">
      <c r="A32" s="534">
        <v>23</v>
      </c>
      <c r="B32" s="535">
        <f t="shared" si="1"/>
        <v>45016</v>
      </c>
      <c r="C32" s="551"/>
      <c r="D32" s="549">
        <v>0</v>
      </c>
      <c r="E32" s="549">
        <v>0</v>
      </c>
      <c r="F32" s="549">
        <v>0</v>
      </c>
      <c r="G32" s="549">
        <v>0</v>
      </c>
      <c r="H32" s="549">
        <v>0</v>
      </c>
      <c r="I32" s="549">
        <v>0</v>
      </c>
      <c r="J32" s="549">
        <v>0</v>
      </c>
      <c r="K32" s="549">
        <v>0</v>
      </c>
      <c r="L32" s="549">
        <v>0</v>
      </c>
      <c r="M32" s="549">
        <v>0</v>
      </c>
      <c r="N32" s="549">
        <v>0</v>
      </c>
      <c r="O32" s="550">
        <v>0</v>
      </c>
      <c r="P32" s="549">
        <v>0</v>
      </c>
      <c r="Q32" s="550">
        <v>0</v>
      </c>
      <c r="R32" s="549">
        <v>0</v>
      </c>
      <c r="S32" s="550">
        <v>0</v>
      </c>
      <c r="T32" s="550">
        <v>0</v>
      </c>
      <c r="U32" s="550">
        <v>0</v>
      </c>
      <c r="V32" s="549">
        <v>0</v>
      </c>
      <c r="W32" s="550">
        <v>0</v>
      </c>
      <c r="X32" s="549"/>
      <c r="Y32" s="524"/>
      <c r="Z32" s="523"/>
      <c r="AA32" s="523"/>
      <c r="AB32" s="523"/>
      <c r="AC32" s="523"/>
      <c r="AD32" s="523"/>
      <c r="AE32" s="523"/>
      <c r="AF32" s="565"/>
      <c r="AG32" s="568"/>
      <c r="AH32" s="533">
        <f t="shared" si="0"/>
        <v>0</v>
      </c>
    </row>
    <row r="33" spans="1:79" s="510" customFormat="1" ht="15" customHeight="1" x14ac:dyDescent="0.25">
      <c r="A33" s="534">
        <v>24</v>
      </c>
      <c r="B33" s="535">
        <f t="shared" si="1"/>
        <v>44985</v>
      </c>
      <c r="C33" s="551"/>
      <c r="D33" s="549">
        <v>0</v>
      </c>
      <c r="E33" s="549">
        <v>0</v>
      </c>
      <c r="F33" s="549">
        <v>0</v>
      </c>
      <c r="G33" s="549">
        <v>0</v>
      </c>
      <c r="H33" s="549">
        <v>0</v>
      </c>
      <c r="I33" s="549">
        <v>0</v>
      </c>
      <c r="J33" s="549">
        <v>0</v>
      </c>
      <c r="K33" s="549">
        <v>0</v>
      </c>
      <c r="L33" s="549">
        <v>0</v>
      </c>
      <c r="M33" s="549">
        <v>0</v>
      </c>
      <c r="N33" s="549">
        <v>0</v>
      </c>
      <c r="O33" s="550">
        <v>0</v>
      </c>
      <c r="P33" s="549">
        <v>0</v>
      </c>
      <c r="Q33" s="550">
        <v>0</v>
      </c>
      <c r="R33" s="549">
        <v>0</v>
      </c>
      <c r="S33" s="550">
        <v>0</v>
      </c>
      <c r="T33" s="550">
        <v>0</v>
      </c>
      <c r="U33" s="550">
        <v>0</v>
      </c>
      <c r="V33" s="549">
        <v>0</v>
      </c>
      <c r="W33" s="550">
        <v>0</v>
      </c>
      <c r="X33" s="550"/>
      <c r="Y33" s="549"/>
      <c r="Z33" s="523"/>
      <c r="AA33" s="523"/>
      <c r="AB33" s="523"/>
      <c r="AC33" s="523"/>
      <c r="AD33" s="523"/>
      <c r="AE33" s="523"/>
      <c r="AF33" s="565"/>
      <c r="AG33" s="568"/>
      <c r="AH33" s="533">
        <f t="shared" si="0"/>
        <v>0</v>
      </c>
    </row>
    <row r="34" spans="1:79" s="510" customFormat="1" ht="15" customHeight="1" x14ac:dyDescent="0.25">
      <c r="A34" s="534">
        <v>25</v>
      </c>
      <c r="B34" s="535">
        <f t="shared" si="1"/>
        <v>44957</v>
      </c>
      <c r="C34" s="551"/>
      <c r="D34" s="549">
        <v>0</v>
      </c>
      <c r="E34" s="549">
        <v>0</v>
      </c>
      <c r="F34" s="549">
        <v>0</v>
      </c>
      <c r="G34" s="549">
        <v>0</v>
      </c>
      <c r="H34" s="549">
        <v>0</v>
      </c>
      <c r="I34" s="549">
        <v>0</v>
      </c>
      <c r="J34" s="549">
        <v>0</v>
      </c>
      <c r="K34" s="549">
        <v>0</v>
      </c>
      <c r="L34" s="549">
        <v>0</v>
      </c>
      <c r="M34" s="549">
        <v>0</v>
      </c>
      <c r="N34" s="549">
        <v>0</v>
      </c>
      <c r="O34" s="550">
        <v>0</v>
      </c>
      <c r="P34" s="549">
        <v>0</v>
      </c>
      <c r="Q34" s="550">
        <v>0</v>
      </c>
      <c r="R34" s="549">
        <v>0</v>
      </c>
      <c r="S34" s="550">
        <v>0</v>
      </c>
      <c r="T34" s="550">
        <v>0</v>
      </c>
      <c r="U34" s="550">
        <v>0</v>
      </c>
      <c r="V34" s="549">
        <v>0</v>
      </c>
      <c r="W34" s="550">
        <v>0</v>
      </c>
      <c r="X34" s="550"/>
      <c r="Y34" s="550"/>
      <c r="Z34" s="549"/>
      <c r="AA34" s="523"/>
      <c r="AB34" s="523"/>
      <c r="AC34" s="523"/>
      <c r="AD34" s="523"/>
      <c r="AE34" s="523"/>
      <c r="AF34" s="565"/>
      <c r="AG34" s="568"/>
      <c r="AH34" s="533">
        <f t="shared" si="0"/>
        <v>0</v>
      </c>
    </row>
    <row r="35" spans="1:79" s="510" customFormat="1" ht="15" customHeight="1" x14ac:dyDescent="0.25">
      <c r="A35" s="534">
        <v>26</v>
      </c>
      <c r="B35" s="535">
        <f t="shared" si="1"/>
        <v>44926</v>
      </c>
      <c r="C35" s="551"/>
      <c r="D35" s="549">
        <v>0</v>
      </c>
      <c r="E35" s="549">
        <v>0</v>
      </c>
      <c r="F35" s="549">
        <v>0</v>
      </c>
      <c r="G35" s="549">
        <v>0</v>
      </c>
      <c r="H35" s="549">
        <v>0</v>
      </c>
      <c r="I35" s="549">
        <v>0</v>
      </c>
      <c r="J35" s="549">
        <v>0</v>
      </c>
      <c r="K35" s="549">
        <v>0</v>
      </c>
      <c r="L35" s="549">
        <v>0</v>
      </c>
      <c r="M35" s="549">
        <v>0</v>
      </c>
      <c r="N35" s="549">
        <v>0</v>
      </c>
      <c r="O35" s="550">
        <v>0</v>
      </c>
      <c r="P35" s="549">
        <v>0</v>
      </c>
      <c r="Q35" s="550">
        <v>0</v>
      </c>
      <c r="R35" s="549">
        <v>0</v>
      </c>
      <c r="S35" s="550">
        <v>0</v>
      </c>
      <c r="T35" s="550">
        <v>0</v>
      </c>
      <c r="U35" s="550">
        <v>0</v>
      </c>
      <c r="V35" s="549">
        <v>0</v>
      </c>
      <c r="W35" s="550">
        <v>0</v>
      </c>
      <c r="X35" s="550"/>
      <c r="Y35" s="550"/>
      <c r="Z35" s="549"/>
      <c r="AA35" s="549"/>
      <c r="AB35" s="523"/>
      <c r="AC35" s="523"/>
      <c r="AD35" s="523"/>
      <c r="AE35" s="523"/>
      <c r="AF35" s="565"/>
      <c r="AG35" s="568"/>
      <c r="AH35" s="533">
        <f t="shared" si="0"/>
        <v>0</v>
      </c>
    </row>
    <row r="36" spans="1:79" s="510" customFormat="1" ht="15" customHeight="1" x14ac:dyDescent="0.25">
      <c r="A36" s="534">
        <v>27</v>
      </c>
      <c r="B36" s="535">
        <f t="shared" si="1"/>
        <v>44895</v>
      </c>
      <c r="C36" s="551"/>
      <c r="D36" s="549">
        <v>0</v>
      </c>
      <c r="E36" s="549">
        <v>0</v>
      </c>
      <c r="F36" s="549">
        <v>0</v>
      </c>
      <c r="G36" s="549">
        <v>0</v>
      </c>
      <c r="H36" s="549">
        <v>0</v>
      </c>
      <c r="I36" s="549">
        <v>0</v>
      </c>
      <c r="J36" s="549">
        <v>0</v>
      </c>
      <c r="K36" s="549">
        <v>0</v>
      </c>
      <c r="L36" s="549">
        <v>0</v>
      </c>
      <c r="M36" s="549">
        <v>0</v>
      </c>
      <c r="N36" s="549">
        <v>0</v>
      </c>
      <c r="O36" s="550">
        <v>0</v>
      </c>
      <c r="P36" s="549">
        <v>0</v>
      </c>
      <c r="Q36" s="550">
        <v>0</v>
      </c>
      <c r="R36" s="549">
        <v>0</v>
      </c>
      <c r="S36" s="550">
        <v>0</v>
      </c>
      <c r="T36" s="550">
        <v>0</v>
      </c>
      <c r="U36" s="550">
        <v>0</v>
      </c>
      <c r="V36" s="549">
        <v>0</v>
      </c>
      <c r="W36" s="550">
        <v>0</v>
      </c>
      <c r="X36" s="550"/>
      <c r="Y36" s="550"/>
      <c r="Z36" s="549"/>
      <c r="AA36" s="550"/>
      <c r="AB36" s="549"/>
      <c r="AC36" s="523"/>
      <c r="AD36" s="523"/>
      <c r="AE36" s="523"/>
      <c r="AF36" s="565"/>
      <c r="AG36" s="568"/>
      <c r="AH36" s="533">
        <f t="shared" si="0"/>
        <v>0</v>
      </c>
    </row>
    <row r="37" spans="1:79" s="510" customFormat="1" ht="15" customHeight="1" x14ac:dyDescent="0.25">
      <c r="A37" s="534">
        <v>28</v>
      </c>
      <c r="B37" s="535">
        <f t="shared" si="1"/>
        <v>44865</v>
      </c>
      <c r="C37" s="551"/>
      <c r="D37" s="549"/>
      <c r="E37" s="549"/>
      <c r="F37" s="549"/>
      <c r="G37" s="549"/>
      <c r="H37" s="549"/>
      <c r="I37" s="549"/>
      <c r="J37" s="549"/>
      <c r="K37" s="549"/>
      <c r="L37" s="549"/>
      <c r="M37" s="549"/>
      <c r="N37" s="549"/>
      <c r="O37" s="550"/>
      <c r="P37" s="549"/>
      <c r="Q37" s="550"/>
      <c r="R37" s="549"/>
      <c r="S37" s="550"/>
      <c r="T37" s="550"/>
      <c r="U37" s="550"/>
      <c r="V37" s="549"/>
      <c r="W37" s="550"/>
      <c r="X37" s="550"/>
      <c r="Y37" s="550"/>
      <c r="Z37" s="549"/>
      <c r="AA37" s="550"/>
      <c r="AB37" s="549"/>
      <c r="AC37" s="549"/>
      <c r="AD37" s="523"/>
      <c r="AE37" s="523"/>
      <c r="AF37" s="565"/>
      <c r="AG37" s="568"/>
      <c r="AH37" s="533">
        <f t="shared" si="0"/>
        <v>0</v>
      </c>
    </row>
    <row r="38" spans="1:79" s="510" customFormat="1" ht="15" customHeight="1" x14ac:dyDescent="0.25">
      <c r="A38" s="534">
        <v>29</v>
      </c>
      <c r="B38" s="535">
        <f t="shared" si="1"/>
        <v>44834</v>
      </c>
      <c r="C38" s="551"/>
      <c r="D38" s="549"/>
      <c r="E38" s="549"/>
      <c r="F38" s="549"/>
      <c r="G38" s="549"/>
      <c r="H38" s="549"/>
      <c r="I38" s="549"/>
      <c r="J38" s="549"/>
      <c r="K38" s="549"/>
      <c r="L38" s="549"/>
      <c r="M38" s="549"/>
      <c r="N38" s="549"/>
      <c r="O38" s="550"/>
      <c r="P38" s="549"/>
      <c r="Q38" s="550"/>
      <c r="R38" s="549"/>
      <c r="S38" s="550"/>
      <c r="T38" s="550"/>
      <c r="U38" s="550"/>
      <c r="V38" s="549"/>
      <c r="W38" s="550"/>
      <c r="X38" s="550"/>
      <c r="Y38" s="550"/>
      <c r="Z38" s="549"/>
      <c r="AA38" s="550"/>
      <c r="AB38" s="549"/>
      <c r="AC38" s="549"/>
      <c r="AD38" s="549"/>
      <c r="AE38" s="523"/>
      <c r="AF38" s="565"/>
      <c r="AG38" s="568"/>
      <c r="AH38" s="533">
        <f t="shared" si="0"/>
        <v>0</v>
      </c>
    </row>
    <row r="39" spans="1:79" s="510" customFormat="1" ht="15" customHeight="1" x14ac:dyDescent="0.25">
      <c r="A39" s="534">
        <v>30</v>
      </c>
      <c r="B39" s="535">
        <f t="shared" si="1"/>
        <v>44804</v>
      </c>
      <c r="C39" s="551"/>
      <c r="D39" s="549"/>
      <c r="E39" s="549"/>
      <c r="F39" s="549"/>
      <c r="G39" s="549"/>
      <c r="H39" s="549"/>
      <c r="I39" s="549"/>
      <c r="J39" s="549"/>
      <c r="K39" s="549"/>
      <c r="L39" s="549"/>
      <c r="M39" s="549"/>
      <c r="N39" s="549"/>
      <c r="O39" s="550"/>
      <c r="P39" s="549"/>
      <c r="Q39" s="550"/>
      <c r="R39" s="549"/>
      <c r="S39" s="550"/>
      <c r="T39" s="550"/>
      <c r="U39" s="550"/>
      <c r="V39" s="549"/>
      <c r="W39" s="550"/>
      <c r="X39" s="550"/>
      <c r="Y39" s="550"/>
      <c r="Z39" s="549"/>
      <c r="AA39" s="550"/>
      <c r="AB39" s="549"/>
      <c r="AC39" s="549"/>
      <c r="AD39" s="549"/>
      <c r="AE39" s="549"/>
      <c r="AF39" s="565"/>
      <c r="AG39" s="568"/>
      <c r="AH39" s="533">
        <f t="shared" si="0"/>
        <v>0</v>
      </c>
    </row>
    <row r="40" spans="1:79" s="510" customFormat="1" ht="31.35" customHeight="1" thickBot="1" x14ac:dyDescent="0.3">
      <c r="A40" s="534">
        <v>31</v>
      </c>
      <c r="B40" s="535" t="s">
        <v>528</v>
      </c>
      <c r="C40" s="577"/>
      <c r="D40" s="551"/>
      <c r="E40" s="549"/>
      <c r="F40" s="549"/>
      <c r="G40" s="549"/>
      <c r="H40" s="549"/>
      <c r="I40" s="549"/>
      <c r="J40" s="549"/>
      <c r="K40" s="549"/>
      <c r="L40" s="549"/>
      <c r="M40" s="549"/>
      <c r="N40" s="549"/>
      <c r="O40" s="549"/>
      <c r="P40" s="550"/>
      <c r="Q40" s="549"/>
      <c r="R40" s="550"/>
      <c r="S40" s="549"/>
      <c r="T40" s="550"/>
      <c r="U40" s="550"/>
      <c r="V40" s="550"/>
      <c r="W40" s="549"/>
      <c r="X40" s="550"/>
      <c r="Y40" s="550"/>
      <c r="Z40" s="550"/>
      <c r="AA40" s="549"/>
      <c r="AB40" s="550"/>
      <c r="AC40" s="549"/>
      <c r="AD40" s="549"/>
      <c r="AE40" s="549"/>
      <c r="AF40" s="587"/>
      <c r="AG40" s="567">
        <v>233516986.84999996</v>
      </c>
      <c r="AH40" s="533">
        <f>SUM(C40:AG40)</f>
        <v>233516986.84999996</v>
      </c>
    </row>
    <row r="41" spans="1:79" s="510" customFormat="1" ht="40.35" customHeight="1" x14ac:dyDescent="0.25">
      <c r="A41" s="536">
        <v>32</v>
      </c>
      <c r="B41" s="537" t="s">
        <v>1307</v>
      </c>
      <c r="C41" s="555">
        <f>SUM(C10:C40)</f>
        <v>0</v>
      </c>
      <c r="D41" s="555">
        <f>SUM(D10:D40)</f>
        <v>996971.56</v>
      </c>
      <c r="E41" s="555">
        <f t="shared" ref="E41:AC41" si="2">SUM(E10:E40)</f>
        <v>2698886.9</v>
      </c>
      <c r="F41" s="555">
        <f t="shared" si="2"/>
        <v>5645033.2200000007</v>
      </c>
      <c r="G41" s="555">
        <f t="shared" si="2"/>
        <v>5852763.0099999998</v>
      </c>
      <c r="H41" s="555">
        <f t="shared" si="2"/>
        <v>5426550.1899999995</v>
      </c>
      <c r="I41" s="555">
        <f t="shared" si="2"/>
        <v>4903246.9300000006</v>
      </c>
      <c r="J41" s="555">
        <f t="shared" si="2"/>
        <v>4897201.42</v>
      </c>
      <c r="K41" s="555">
        <f t="shared" si="2"/>
        <v>5655531.5</v>
      </c>
      <c r="L41" s="555">
        <f t="shared" si="2"/>
        <v>5340070.3500000006</v>
      </c>
      <c r="M41" s="555">
        <f t="shared" si="2"/>
        <v>4714994.5599999996</v>
      </c>
      <c r="N41" s="555">
        <f t="shared" si="2"/>
        <v>5889190.7200000007</v>
      </c>
      <c r="O41" s="555">
        <f t="shared" si="2"/>
        <v>5366737.38</v>
      </c>
      <c r="P41" s="555">
        <f t="shared" si="2"/>
        <v>4967497.88</v>
      </c>
      <c r="Q41" s="555">
        <f t="shared" si="2"/>
        <v>5693466.4600000009</v>
      </c>
      <c r="R41" s="555">
        <f t="shared" si="2"/>
        <v>5743321.4800000004</v>
      </c>
      <c r="S41" s="555">
        <f t="shared" si="2"/>
        <v>5356330.91</v>
      </c>
      <c r="T41" s="555">
        <f t="shared" si="2"/>
        <v>4344787.38</v>
      </c>
      <c r="U41" s="555">
        <f t="shared" si="2"/>
        <v>4666002.95</v>
      </c>
      <c r="V41" s="555">
        <f t="shared" si="2"/>
        <v>4734526.04</v>
      </c>
      <c r="W41" s="555">
        <f t="shared" si="2"/>
        <v>4237092.76</v>
      </c>
      <c r="X41" s="555">
        <f t="shared" si="2"/>
        <v>0</v>
      </c>
      <c r="Y41" s="555">
        <f t="shared" si="2"/>
        <v>0</v>
      </c>
      <c r="Z41" s="555">
        <f t="shared" si="2"/>
        <v>0</v>
      </c>
      <c r="AA41" s="555">
        <f t="shared" si="2"/>
        <v>0</v>
      </c>
      <c r="AB41" s="555">
        <f t="shared" si="2"/>
        <v>0</v>
      </c>
      <c r="AC41" s="555">
        <f t="shared" si="2"/>
        <v>0</v>
      </c>
      <c r="AD41" s="555">
        <f>SUM(AD10:AD40)</f>
        <v>0</v>
      </c>
      <c r="AE41" s="555">
        <f>SUM(AE10:AE40)</f>
        <v>0</v>
      </c>
      <c r="AF41" s="555">
        <f>SUM(AF10:AF40)</f>
        <v>0</v>
      </c>
      <c r="AG41" s="579">
        <f>SUM(AG10:AG40)</f>
        <v>241403108.43999997</v>
      </c>
      <c r="AH41" s="556">
        <f>SUM(AH10:AH40)</f>
        <v>338533312.03999996</v>
      </c>
    </row>
    <row r="42" spans="1:79" s="510" customFormat="1" ht="40.35" customHeight="1" x14ac:dyDescent="0.25">
      <c r="A42" s="538">
        <v>33</v>
      </c>
      <c r="B42" s="539" t="s">
        <v>1441</v>
      </c>
      <c r="C42" s="525"/>
      <c r="D42" s="523"/>
      <c r="E42" s="523"/>
      <c r="F42" s="523"/>
      <c r="G42" s="526"/>
      <c r="H42" s="523"/>
      <c r="I42" s="523"/>
      <c r="J42" s="523"/>
      <c r="K42" s="523"/>
      <c r="L42" s="523"/>
      <c r="M42" s="523"/>
      <c r="N42" s="523"/>
      <c r="O42" s="524"/>
      <c r="P42" s="523"/>
      <c r="Q42" s="524"/>
      <c r="R42" s="523"/>
      <c r="S42" s="524"/>
      <c r="T42" s="524"/>
      <c r="U42" s="524"/>
      <c r="V42" s="523"/>
      <c r="W42" s="524"/>
      <c r="X42" s="524"/>
      <c r="Y42" s="524"/>
      <c r="Z42" s="523"/>
      <c r="AA42" s="524"/>
      <c r="AB42" s="523"/>
      <c r="AC42" s="524"/>
      <c r="AD42" s="524"/>
      <c r="AE42" s="523"/>
      <c r="AF42" s="589"/>
      <c r="AG42" s="526"/>
      <c r="AH42" s="533">
        <f>SUM(C42:AG42)</f>
        <v>0</v>
      </c>
    </row>
    <row r="43" spans="1:79" s="510" customFormat="1" ht="40.35" customHeight="1" x14ac:dyDescent="0.25">
      <c r="A43" s="538">
        <v>34</v>
      </c>
      <c r="B43" s="539" t="s">
        <v>522</v>
      </c>
      <c r="C43" s="512"/>
      <c r="D43" s="513"/>
      <c r="E43" s="513"/>
      <c r="F43" s="513"/>
      <c r="G43" s="513"/>
      <c r="H43" s="513"/>
      <c r="I43" s="513"/>
      <c r="J43" s="513"/>
      <c r="K43" s="513"/>
      <c r="L43" s="513"/>
      <c r="M43" s="513"/>
      <c r="N43" s="513"/>
      <c r="O43" s="514"/>
      <c r="P43" s="513"/>
      <c r="Q43" s="514"/>
      <c r="R43" s="513"/>
      <c r="S43" s="514"/>
      <c r="T43" s="514"/>
      <c r="U43" s="514"/>
      <c r="V43" s="513"/>
      <c r="W43" s="514"/>
      <c r="X43" s="514"/>
      <c r="Y43" s="514"/>
      <c r="Z43" s="513"/>
      <c r="AA43" s="514"/>
      <c r="AB43" s="513"/>
      <c r="AC43" s="514"/>
      <c r="AD43" s="570"/>
      <c r="AE43" s="680"/>
      <c r="AF43" s="590"/>
      <c r="AG43" s="588"/>
      <c r="AH43" s="515"/>
    </row>
    <row r="44" spans="1:79" s="510" customFormat="1" ht="40.35" customHeight="1" x14ac:dyDescent="0.25">
      <c r="A44" s="538">
        <v>35</v>
      </c>
      <c r="B44" s="540" t="s">
        <v>1347</v>
      </c>
      <c r="C44" s="525"/>
      <c r="D44" s="523"/>
      <c r="E44" s="523"/>
      <c r="F44" s="523"/>
      <c r="G44" s="526"/>
      <c r="H44" s="523"/>
      <c r="I44" s="523"/>
      <c r="J44" s="523"/>
      <c r="K44" s="523"/>
      <c r="L44" s="523"/>
      <c r="M44" s="523"/>
      <c r="N44" s="523"/>
      <c r="O44" s="524"/>
      <c r="P44" s="523"/>
      <c r="Q44" s="524"/>
      <c r="R44" s="523"/>
      <c r="S44" s="524"/>
      <c r="T44" s="524"/>
      <c r="U44" s="524"/>
      <c r="V44" s="523"/>
      <c r="W44" s="524"/>
      <c r="X44" s="524"/>
      <c r="Y44" s="524"/>
      <c r="Z44" s="523"/>
      <c r="AA44" s="524"/>
      <c r="AB44" s="523"/>
      <c r="AC44" s="524"/>
      <c r="AD44" s="524"/>
      <c r="AE44" s="523"/>
      <c r="AF44" s="589"/>
      <c r="AG44" s="526"/>
      <c r="AH44" s="529">
        <f>SUM(C44:AG44)</f>
        <v>0</v>
      </c>
    </row>
    <row r="45" spans="1:79" s="510" customFormat="1" ht="53.85" customHeight="1" x14ac:dyDescent="0.25">
      <c r="A45" s="538">
        <v>36</v>
      </c>
      <c r="B45" s="541" t="s">
        <v>1440</v>
      </c>
      <c r="C45" s="527">
        <f>SUM(C41:C44)</f>
        <v>0</v>
      </c>
      <c r="D45" s="527">
        <f t="shared" ref="D45:AD45" si="3">SUM(D41:D44)</f>
        <v>996971.56</v>
      </c>
      <c r="E45" s="528">
        <f t="shared" si="3"/>
        <v>2698886.9</v>
      </c>
      <c r="F45" s="528">
        <f t="shared" si="3"/>
        <v>5645033.2200000007</v>
      </c>
      <c r="G45" s="528">
        <f t="shared" si="3"/>
        <v>5852763.0099999998</v>
      </c>
      <c r="H45" s="528">
        <f t="shared" si="3"/>
        <v>5426550.1899999995</v>
      </c>
      <c r="I45" s="528">
        <f t="shared" si="3"/>
        <v>4903246.9300000006</v>
      </c>
      <c r="J45" s="528">
        <f t="shared" si="3"/>
        <v>4897201.42</v>
      </c>
      <c r="K45" s="528">
        <f t="shared" si="3"/>
        <v>5655531.5</v>
      </c>
      <c r="L45" s="528">
        <f t="shared" si="3"/>
        <v>5340070.3500000006</v>
      </c>
      <c r="M45" s="528">
        <f t="shared" si="3"/>
        <v>4714994.5599999996</v>
      </c>
      <c r="N45" s="528">
        <f t="shared" si="3"/>
        <v>5889190.7200000007</v>
      </c>
      <c r="O45" s="528">
        <f t="shared" si="3"/>
        <v>5366737.38</v>
      </c>
      <c r="P45" s="528">
        <f t="shared" si="3"/>
        <v>4967497.88</v>
      </c>
      <c r="Q45" s="528">
        <f t="shared" si="3"/>
        <v>5693466.4600000009</v>
      </c>
      <c r="R45" s="528">
        <f t="shared" si="3"/>
        <v>5743321.4800000004</v>
      </c>
      <c r="S45" s="528">
        <f t="shared" si="3"/>
        <v>5356330.91</v>
      </c>
      <c r="T45" s="528">
        <f t="shared" si="3"/>
        <v>4344787.38</v>
      </c>
      <c r="U45" s="528">
        <f t="shared" si="3"/>
        <v>4666002.95</v>
      </c>
      <c r="V45" s="528">
        <f t="shared" si="3"/>
        <v>4734526.04</v>
      </c>
      <c r="W45" s="528">
        <f t="shared" si="3"/>
        <v>4237092.76</v>
      </c>
      <c r="X45" s="528">
        <f t="shared" si="3"/>
        <v>0</v>
      </c>
      <c r="Y45" s="528">
        <f t="shared" si="3"/>
        <v>0</v>
      </c>
      <c r="Z45" s="528">
        <f t="shared" si="3"/>
        <v>0</v>
      </c>
      <c r="AA45" s="528">
        <f t="shared" si="3"/>
        <v>0</v>
      </c>
      <c r="AB45" s="528">
        <f t="shared" si="3"/>
        <v>0</v>
      </c>
      <c r="AC45" s="528">
        <f t="shared" si="3"/>
        <v>0</v>
      </c>
      <c r="AD45" s="528">
        <f t="shared" si="3"/>
        <v>0</v>
      </c>
      <c r="AE45" s="528">
        <f>SUM(AE41:AE44)</f>
        <v>0</v>
      </c>
      <c r="AF45" s="528">
        <f>SUM(AF41:AF44)</f>
        <v>0</v>
      </c>
      <c r="AG45" s="530">
        <f>SUM(AG41:AG44)</f>
        <v>241403108.43999997</v>
      </c>
      <c r="AH45" s="529">
        <f>SUM(AH41:AH44)</f>
        <v>338533312.03999996</v>
      </c>
    </row>
    <row r="46" spans="1:79" s="510" customFormat="1" ht="53.25" customHeight="1" x14ac:dyDescent="0.25">
      <c r="A46" s="538">
        <v>37</v>
      </c>
      <c r="B46" s="541" t="s">
        <v>523</v>
      </c>
      <c r="C46" s="525"/>
      <c r="D46" s="523">
        <v>78320.157890077578</v>
      </c>
      <c r="E46" s="523">
        <v>33804.185213104822</v>
      </c>
      <c r="F46" s="523">
        <v>26110.698407117667</v>
      </c>
      <c r="G46" s="526">
        <v>22971.03097595898</v>
      </c>
      <c r="H46" s="523">
        <v>15182.82907361785</v>
      </c>
      <c r="I46" s="523">
        <v>7810.5934613206909</v>
      </c>
      <c r="J46" s="523">
        <v>5242.4201015638182</v>
      </c>
      <c r="K46" s="523">
        <v>1083.7456109679647</v>
      </c>
      <c r="L46" s="523">
        <v>2003.7011639989862</v>
      </c>
      <c r="M46" s="523">
        <v>5.2678045771743565E-9</v>
      </c>
      <c r="N46" s="523">
        <v>0</v>
      </c>
      <c r="O46" s="524">
        <v>-9.3456403768508287E-9</v>
      </c>
      <c r="P46" s="523">
        <v>-5.1547621411218192E-9</v>
      </c>
      <c r="Q46" s="524">
        <v>1.6101898192403769E-9</v>
      </c>
      <c r="R46" s="523">
        <v>-3.9689386923027801E-9</v>
      </c>
      <c r="S46" s="524">
        <v>1.3858086471135245E-8</v>
      </c>
      <c r="T46" s="524">
        <v>0</v>
      </c>
      <c r="U46" s="524">
        <v>7.190964124371131E-10</v>
      </c>
      <c r="V46" s="523">
        <v>2.2813367324295924E-9</v>
      </c>
      <c r="W46" s="524">
        <v>-5.9662528625067068E-9</v>
      </c>
      <c r="X46" s="524"/>
      <c r="Y46" s="524"/>
      <c r="Z46" s="523">
        <v>0</v>
      </c>
      <c r="AA46" s="524">
        <v>0</v>
      </c>
      <c r="AB46" s="523">
        <v>0</v>
      </c>
      <c r="AC46" s="524">
        <v>0</v>
      </c>
      <c r="AD46" s="524">
        <v>0</v>
      </c>
      <c r="AE46" s="523">
        <v>0</v>
      </c>
      <c r="AF46" s="589">
        <v>0</v>
      </c>
      <c r="AG46" s="526">
        <v>0</v>
      </c>
      <c r="AH46" s="529">
        <f>SUM(C46:AG46)</f>
        <v>192529.36189772765</v>
      </c>
    </row>
    <row r="47" spans="1:79" s="510" customFormat="1" ht="40.35" customHeight="1" thickBot="1" x14ac:dyDescent="0.3">
      <c r="A47" s="542">
        <v>38</v>
      </c>
      <c r="B47" s="543" t="s">
        <v>1415</v>
      </c>
      <c r="C47" s="531">
        <f>SUM(C45:C46)</f>
        <v>0</v>
      </c>
      <c r="D47" s="531">
        <f t="shared" ref="D47:AB47" si="4">SUM(D45:D46)</f>
        <v>1075291.7178900777</v>
      </c>
      <c r="E47" s="531">
        <f t="shared" si="4"/>
        <v>2732691.0852131047</v>
      </c>
      <c r="F47" s="531">
        <f t="shared" si="4"/>
        <v>5671143.9184071179</v>
      </c>
      <c r="G47" s="531">
        <f t="shared" si="4"/>
        <v>5875734.040975959</v>
      </c>
      <c r="H47" s="531">
        <f t="shared" si="4"/>
        <v>5441733.0190736176</v>
      </c>
      <c r="I47" s="531">
        <f t="shared" si="4"/>
        <v>4911057.5234613214</v>
      </c>
      <c r="J47" s="531">
        <f t="shared" si="4"/>
        <v>4902443.8401015634</v>
      </c>
      <c r="K47" s="531">
        <f t="shared" si="4"/>
        <v>5656615.2456109682</v>
      </c>
      <c r="L47" s="531">
        <f t="shared" si="4"/>
        <v>5342074.0511639994</v>
      </c>
      <c r="M47" s="531">
        <f t="shared" si="4"/>
        <v>4714994.5600000052</v>
      </c>
      <c r="N47" s="531">
        <f t="shared" si="4"/>
        <v>5889190.7200000007</v>
      </c>
      <c r="O47" s="531">
        <f t="shared" si="4"/>
        <v>5366737.3799999906</v>
      </c>
      <c r="P47" s="531">
        <f t="shared" si="4"/>
        <v>4967497.8799999943</v>
      </c>
      <c r="Q47" s="531">
        <f t="shared" si="4"/>
        <v>5693466.4600000028</v>
      </c>
      <c r="R47" s="531">
        <f t="shared" si="4"/>
        <v>5743321.4799999967</v>
      </c>
      <c r="S47" s="531">
        <f t="shared" si="4"/>
        <v>5356330.9100000141</v>
      </c>
      <c r="T47" s="531">
        <f t="shared" si="4"/>
        <v>4344787.38</v>
      </c>
      <c r="U47" s="531">
        <f t="shared" si="4"/>
        <v>4666002.9500000011</v>
      </c>
      <c r="V47" s="531">
        <f t="shared" si="4"/>
        <v>4734526.0400000019</v>
      </c>
      <c r="W47" s="531">
        <f t="shared" si="4"/>
        <v>4237092.7599999942</v>
      </c>
      <c r="X47" s="531">
        <f t="shared" si="4"/>
        <v>0</v>
      </c>
      <c r="Y47" s="531">
        <f t="shared" si="4"/>
        <v>0</v>
      </c>
      <c r="Z47" s="531">
        <f t="shared" si="4"/>
        <v>0</v>
      </c>
      <c r="AA47" s="531">
        <f t="shared" si="4"/>
        <v>0</v>
      </c>
      <c r="AB47" s="531">
        <f t="shared" si="4"/>
        <v>0</v>
      </c>
      <c r="AC47" s="531">
        <f t="shared" ref="AC47:AH47" si="5">SUM(AC45:AC46)</f>
        <v>0</v>
      </c>
      <c r="AD47" s="531">
        <f t="shared" si="5"/>
        <v>0</v>
      </c>
      <c r="AE47" s="531">
        <f t="shared" si="5"/>
        <v>0</v>
      </c>
      <c r="AF47" s="531">
        <f t="shared" si="5"/>
        <v>0</v>
      </c>
      <c r="AG47" s="566">
        <f t="shared" si="5"/>
        <v>241403108.43999997</v>
      </c>
      <c r="AH47" s="532">
        <f t="shared" si="5"/>
        <v>338725841.40189767</v>
      </c>
    </row>
    <row r="48" spans="1:79" x14ac:dyDescent="0.25">
      <c r="AG48" s="508"/>
      <c r="AH48" s="508"/>
      <c r="AI48" s="508"/>
      <c r="AJ48" s="508"/>
      <c r="AK48" s="508"/>
      <c r="AL48" s="508"/>
      <c r="AM48" s="508"/>
      <c r="AN48" s="508"/>
      <c r="AO48" s="508"/>
      <c r="AP48" s="508"/>
      <c r="AQ48" s="508"/>
      <c r="AR48" s="508"/>
      <c r="AS48" s="508"/>
      <c r="AT48" s="508"/>
      <c r="AU48" s="508"/>
      <c r="AV48" s="508"/>
      <c r="AW48" s="508"/>
      <c r="AX48" s="508"/>
      <c r="AY48" s="508"/>
      <c r="AZ48" s="508"/>
      <c r="BA48" s="508"/>
      <c r="BB48" s="508"/>
      <c r="BC48" s="508"/>
      <c r="BD48" s="508"/>
      <c r="BE48" s="508"/>
      <c r="BF48" s="508"/>
      <c r="BG48" s="508"/>
      <c r="BH48" s="508"/>
      <c r="BI48" s="508"/>
      <c r="BJ48" s="508"/>
      <c r="BK48" s="508"/>
      <c r="BL48" s="508"/>
      <c r="BM48" s="508"/>
      <c r="BN48" s="508"/>
      <c r="BO48" s="508"/>
      <c r="BP48" s="508"/>
      <c r="BQ48" s="508"/>
      <c r="BR48" s="508"/>
      <c r="BS48" s="508"/>
      <c r="BT48" s="508"/>
      <c r="BU48" s="508"/>
      <c r="BV48" s="508"/>
      <c r="BW48" s="508"/>
      <c r="BX48" s="508"/>
      <c r="BY48" s="508"/>
      <c r="BZ48" s="508"/>
      <c r="CA48" s="508"/>
    </row>
    <row r="49" spans="33:79" x14ac:dyDescent="0.25">
      <c r="AG49" s="508"/>
      <c r="AH49" s="508"/>
      <c r="AI49" s="508"/>
      <c r="AJ49" s="508"/>
      <c r="AK49" s="508"/>
      <c r="AL49" s="508"/>
      <c r="AM49" s="508"/>
      <c r="AN49" s="508"/>
      <c r="AO49" s="508"/>
      <c r="AP49" s="508"/>
      <c r="AQ49" s="508"/>
      <c r="AR49" s="508"/>
      <c r="AS49" s="508"/>
      <c r="AT49" s="508"/>
      <c r="AU49" s="508"/>
      <c r="AV49" s="508"/>
      <c r="AW49" s="508"/>
      <c r="AX49" s="508"/>
      <c r="AY49" s="508"/>
      <c r="AZ49" s="508"/>
      <c r="BA49" s="508"/>
      <c r="BB49" s="508"/>
      <c r="BC49" s="508"/>
      <c r="BD49" s="508"/>
      <c r="BE49" s="508"/>
      <c r="BF49" s="508"/>
      <c r="BG49" s="508"/>
      <c r="BH49" s="508"/>
      <c r="BI49" s="508"/>
      <c r="BJ49" s="508"/>
      <c r="BK49" s="508"/>
      <c r="BL49" s="508"/>
      <c r="BM49" s="508"/>
      <c r="BN49" s="508"/>
      <c r="BO49" s="508"/>
      <c r="BP49" s="508"/>
      <c r="BQ49" s="508"/>
      <c r="BR49" s="508"/>
      <c r="BS49" s="508"/>
      <c r="BT49" s="508"/>
      <c r="BU49" s="508"/>
      <c r="BV49" s="508"/>
      <c r="BW49" s="508"/>
      <c r="BX49" s="508"/>
      <c r="BY49" s="508"/>
      <c r="BZ49" s="508"/>
      <c r="CA49" s="508"/>
    </row>
    <row r="50" spans="33:79" x14ac:dyDescent="0.25">
      <c r="AG50" s="508"/>
      <c r="AH50" s="508"/>
      <c r="AI50" s="508"/>
      <c r="AJ50" s="508"/>
      <c r="AK50" s="508"/>
      <c r="AL50" s="508"/>
      <c r="AM50" s="508"/>
      <c r="AN50" s="508"/>
      <c r="AO50" s="508"/>
      <c r="AP50" s="508"/>
      <c r="AQ50" s="508"/>
      <c r="AR50" s="508"/>
      <c r="AS50" s="508"/>
      <c r="AT50" s="508"/>
      <c r="AU50" s="508"/>
      <c r="AV50" s="508"/>
      <c r="AW50" s="508"/>
      <c r="AX50" s="508"/>
      <c r="AY50" s="508"/>
      <c r="AZ50" s="508"/>
      <c r="BA50" s="508"/>
      <c r="BB50" s="508"/>
      <c r="BC50" s="508"/>
      <c r="BD50" s="508"/>
      <c r="BE50" s="508"/>
      <c r="BF50" s="508"/>
      <c r="BG50" s="508"/>
      <c r="BH50" s="508"/>
      <c r="BI50" s="508"/>
      <c r="BJ50" s="508"/>
      <c r="BK50" s="508"/>
      <c r="BL50" s="508"/>
      <c r="BM50" s="508"/>
      <c r="BN50" s="508"/>
      <c r="BO50" s="508"/>
      <c r="BP50" s="508"/>
      <c r="BQ50" s="508"/>
      <c r="BR50" s="508"/>
      <c r="BS50" s="508"/>
      <c r="BT50" s="508"/>
      <c r="BU50" s="508"/>
      <c r="BV50" s="508"/>
      <c r="BW50" s="508"/>
      <c r="BX50" s="508"/>
      <c r="BY50" s="508"/>
      <c r="BZ50" s="508"/>
      <c r="CA50" s="508"/>
    </row>
    <row r="51" spans="33:79" x14ac:dyDescent="0.25">
      <c r="AG51" s="508"/>
      <c r="AH51" s="508"/>
      <c r="AI51" s="508"/>
      <c r="AJ51" s="508"/>
      <c r="AK51" s="508"/>
      <c r="AL51" s="508"/>
      <c r="AM51" s="508"/>
      <c r="AN51" s="508"/>
      <c r="AO51" s="508"/>
      <c r="AP51" s="508"/>
      <c r="AQ51" s="508"/>
      <c r="AR51" s="508"/>
      <c r="AS51" s="508"/>
      <c r="AT51" s="508"/>
      <c r="AU51" s="508"/>
      <c r="AV51" s="508"/>
      <c r="AW51" s="508"/>
      <c r="AX51" s="508"/>
      <c r="AY51" s="508"/>
      <c r="AZ51" s="508"/>
      <c r="BA51" s="508"/>
      <c r="BB51" s="508"/>
      <c r="BC51" s="508"/>
      <c r="BD51" s="508"/>
      <c r="BE51" s="508"/>
      <c r="BF51" s="508"/>
      <c r="BG51" s="508"/>
      <c r="BH51" s="508"/>
      <c r="BI51" s="508"/>
      <c r="BJ51" s="508"/>
      <c r="BK51" s="508"/>
      <c r="BL51" s="508"/>
      <c r="BM51" s="508"/>
      <c r="BN51" s="508"/>
      <c r="BO51" s="508"/>
      <c r="BP51" s="508"/>
      <c r="BQ51" s="508"/>
      <c r="BR51" s="508"/>
      <c r="BS51" s="508"/>
      <c r="BT51" s="508"/>
      <c r="BU51" s="508"/>
      <c r="BV51" s="508"/>
      <c r="BW51" s="508"/>
      <c r="BX51" s="508"/>
      <c r="BY51" s="508"/>
      <c r="BZ51" s="508"/>
      <c r="CA51" s="508"/>
    </row>
    <row r="52" spans="33:79" x14ac:dyDescent="0.25">
      <c r="AG52" s="508"/>
      <c r="AH52" s="508"/>
      <c r="AI52" s="508"/>
      <c r="AJ52" s="508"/>
      <c r="AK52" s="508"/>
      <c r="AL52" s="508"/>
      <c r="AM52" s="508"/>
      <c r="AN52" s="508"/>
      <c r="AO52" s="508"/>
      <c r="AP52" s="508"/>
      <c r="AQ52" s="508"/>
      <c r="AR52" s="508"/>
      <c r="AS52" s="508"/>
      <c r="AT52" s="508"/>
      <c r="AU52" s="508"/>
      <c r="AV52" s="508"/>
      <c r="AW52" s="508"/>
      <c r="AX52" s="508"/>
      <c r="AY52" s="508"/>
      <c r="AZ52" s="508"/>
      <c r="BA52" s="508"/>
      <c r="BB52" s="508"/>
      <c r="BC52" s="508"/>
      <c r="BD52" s="508"/>
      <c r="BE52" s="508"/>
      <c r="BF52" s="508"/>
      <c r="BG52" s="508"/>
      <c r="BH52" s="508"/>
      <c r="BI52" s="508"/>
      <c r="BJ52" s="508"/>
      <c r="BK52" s="508"/>
      <c r="BL52" s="508"/>
      <c r="BM52" s="508"/>
      <c r="BN52" s="508"/>
      <c r="BO52" s="508"/>
      <c r="BP52" s="508"/>
      <c r="BQ52" s="508"/>
      <c r="BR52" s="508"/>
      <c r="BS52" s="508"/>
      <c r="BT52" s="508"/>
      <c r="BU52" s="508"/>
      <c r="BV52" s="508"/>
      <c r="BW52" s="508"/>
      <c r="BX52" s="508"/>
      <c r="BY52" s="508"/>
      <c r="BZ52" s="508"/>
      <c r="CA52" s="508"/>
    </row>
    <row r="53" spans="33:79" x14ac:dyDescent="0.25">
      <c r="AG53" s="508"/>
      <c r="AH53" s="508"/>
      <c r="AI53" s="508"/>
      <c r="AJ53" s="508"/>
      <c r="AK53" s="508"/>
      <c r="AL53" s="508"/>
      <c r="AM53" s="508"/>
      <c r="AN53" s="508"/>
      <c r="AO53" s="508"/>
      <c r="AP53" s="508"/>
      <c r="AQ53" s="508"/>
      <c r="AR53" s="508"/>
      <c r="AS53" s="508"/>
      <c r="AT53" s="508"/>
      <c r="AU53" s="508"/>
      <c r="AV53" s="508"/>
      <c r="AW53" s="508"/>
      <c r="AX53" s="508"/>
      <c r="AY53" s="508"/>
      <c r="AZ53" s="508"/>
      <c r="BA53" s="508"/>
      <c r="BB53" s="508"/>
      <c r="BC53" s="508"/>
      <c r="BD53" s="508"/>
      <c r="BE53" s="508"/>
      <c r="BF53" s="508"/>
      <c r="BG53" s="508"/>
      <c r="BH53" s="508"/>
      <c r="BI53" s="508"/>
      <c r="BJ53" s="508"/>
      <c r="BK53" s="508"/>
      <c r="BL53" s="508"/>
      <c r="BM53" s="508"/>
      <c r="BN53" s="508"/>
      <c r="BO53" s="508"/>
      <c r="BP53" s="508"/>
      <c r="BQ53" s="508"/>
      <c r="BR53" s="508"/>
      <c r="BS53" s="508"/>
      <c r="BT53" s="508"/>
      <c r="BU53" s="508"/>
      <c r="BV53" s="508"/>
      <c r="BW53" s="508"/>
      <c r="BX53" s="508"/>
      <c r="BY53" s="508"/>
      <c r="BZ53" s="508"/>
      <c r="CA53" s="508"/>
    </row>
    <row r="54" spans="33:79" x14ac:dyDescent="0.25">
      <c r="AG54" s="508"/>
      <c r="AH54" s="508"/>
      <c r="AI54" s="508"/>
      <c r="AJ54" s="508"/>
      <c r="AK54" s="508"/>
      <c r="AL54" s="508"/>
      <c r="AM54" s="508"/>
      <c r="AN54" s="508"/>
      <c r="AO54" s="508"/>
      <c r="AP54" s="508"/>
      <c r="AQ54" s="508"/>
      <c r="AR54" s="508"/>
      <c r="AS54" s="508"/>
      <c r="AT54" s="508"/>
      <c r="AU54" s="508"/>
      <c r="AV54" s="508"/>
      <c r="AW54" s="508"/>
      <c r="AX54" s="508"/>
      <c r="AY54" s="508"/>
      <c r="AZ54" s="508"/>
      <c r="BA54" s="508"/>
      <c r="BB54" s="508"/>
      <c r="BC54" s="508"/>
      <c r="BD54" s="508"/>
      <c r="BE54" s="508"/>
      <c r="BF54" s="508"/>
      <c r="BG54" s="508"/>
      <c r="BH54" s="508"/>
      <c r="BI54" s="508"/>
      <c r="BJ54" s="508"/>
      <c r="BK54" s="508"/>
      <c r="BL54" s="508"/>
      <c r="BM54" s="508"/>
      <c r="BN54" s="508"/>
      <c r="BO54" s="508"/>
      <c r="BP54" s="508"/>
      <c r="BQ54" s="508"/>
      <c r="BR54" s="508"/>
      <c r="BS54" s="508"/>
      <c r="BT54" s="508"/>
      <c r="BU54" s="508"/>
      <c r="BV54" s="508"/>
      <c r="BW54" s="508"/>
      <c r="BX54" s="508"/>
      <c r="BY54" s="508"/>
      <c r="BZ54" s="508"/>
      <c r="CA54" s="508"/>
    </row>
    <row r="55" spans="33:79" x14ac:dyDescent="0.25">
      <c r="AG55" s="508"/>
      <c r="AH55" s="508"/>
      <c r="AI55" s="508"/>
      <c r="AJ55" s="508"/>
      <c r="AK55" s="508"/>
      <c r="AL55" s="508"/>
      <c r="AM55" s="508"/>
      <c r="AN55" s="508"/>
      <c r="AO55" s="508"/>
      <c r="AP55" s="508"/>
      <c r="AQ55" s="508"/>
      <c r="AR55" s="508"/>
      <c r="AS55" s="508"/>
      <c r="AT55" s="508"/>
      <c r="AU55" s="508"/>
      <c r="AV55" s="508"/>
      <c r="AW55" s="508"/>
      <c r="AX55" s="508"/>
      <c r="AY55" s="508"/>
      <c r="AZ55" s="508"/>
      <c r="BA55" s="508"/>
      <c r="BB55" s="508"/>
      <c r="BC55" s="508"/>
      <c r="BD55" s="508"/>
      <c r="BE55" s="508"/>
      <c r="BF55" s="508"/>
      <c r="BG55" s="508"/>
      <c r="BH55" s="508"/>
      <c r="BI55" s="508"/>
      <c r="BJ55" s="508"/>
      <c r="BK55" s="508"/>
      <c r="BL55" s="508"/>
      <c r="BM55" s="508"/>
      <c r="BN55" s="508"/>
      <c r="BO55" s="508"/>
      <c r="BP55" s="508"/>
      <c r="BQ55" s="508"/>
      <c r="BR55" s="508"/>
      <c r="BS55" s="508"/>
      <c r="BT55" s="508"/>
      <c r="BU55" s="508"/>
      <c r="BV55" s="508"/>
      <c r="BW55" s="508"/>
      <c r="BX55" s="508"/>
      <c r="BY55" s="508"/>
      <c r="BZ55" s="508"/>
      <c r="CA55" s="508"/>
    </row>
    <row r="56" spans="33:79" x14ac:dyDescent="0.25">
      <c r="AG56" s="508"/>
      <c r="AH56" s="508"/>
      <c r="AI56" s="508"/>
      <c r="AJ56" s="508"/>
      <c r="AK56" s="508"/>
      <c r="AL56" s="508"/>
      <c r="AM56" s="508"/>
      <c r="AN56" s="508"/>
      <c r="AO56" s="508"/>
      <c r="AP56" s="508"/>
      <c r="AQ56" s="508"/>
      <c r="AR56" s="508"/>
      <c r="AS56" s="508"/>
      <c r="AT56" s="508"/>
      <c r="AU56" s="508"/>
      <c r="AV56" s="508"/>
      <c r="AW56" s="508"/>
      <c r="AX56" s="508"/>
      <c r="AY56" s="508"/>
      <c r="AZ56" s="508"/>
      <c r="BA56" s="508"/>
      <c r="BB56" s="508"/>
      <c r="BC56" s="508"/>
      <c r="BD56" s="508"/>
      <c r="BE56" s="508"/>
      <c r="BF56" s="508"/>
      <c r="BG56" s="508"/>
      <c r="BH56" s="508"/>
      <c r="BI56" s="508"/>
      <c r="BJ56" s="508"/>
      <c r="BK56" s="508"/>
      <c r="BL56" s="508"/>
      <c r="BM56" s="508"/>
      <c r="BN56" s="508"/>
      <c r="BO56" s="508"/>
      <c r="BP56" s="508"/>
      <c r="BQ56" s="508"/>
      <c r="BR56" s="508"/>
      <c r="BS56" s="508"/>
      <c r="BT56" s="508"/>
      <c r="BU56" s="508"/>
      <c r="BV56" s="508"/>
      <c r="BW56" s="508"/>
      <c r="BX56" s="508"/>
      <c r="BY56" s="508"/>
      <c r="BZ56" s="508"/>
      <c r="CA56" s="508"/>
    </row>
    <row r="57" spans="33:79" x14ac:dyDescent="0.25">
      <c r="AG57" s="508"/>
      <c r="AH57" s="508"/>
      <c r="AI57" s="508"/>
      <c r="AJ57" s="508"/>
      <c r="AK57" s="508"/>
      <c r="AL57" s="508"/>
      <c r="AM57" s="508"/>
      <c r="AN57" s="508"/>
      <c r="AO57" s="508"/>
      <c r="AP57" s="508"/>
      <c r="AQ57" s="508"/>
      <c r="AR57" s="508"/>
      <c r="AS57" s="508"/>
      <c r="AT57" s="508"/>
      <c r="AU57" s="508"/>
      <c r="AV57" s="508"/>
      <c r="AW57" s="508"/>
      <c r="AX57" s="508"/>
      <c r="AY57" s="508"/>
      <c r="AZ57" s="508"/>
      <c r="BA57" s="508"/>
      <c r="BB57" s="508"/>
      <c r="BC57" s="508"/>
      <c r="BD57" s="508"/>
      <c r="BE57" s="508"/>
      <c r="BF57" s="508"/>
      <c r="BG57" s="508"/>
      <c r="BH57" s="508"/>
      <c r="BI57" s="508"/>
      <c r="BJ57" s="508"/>
      <c r="BK57" s="508"/>
      <c r="BL57" s="508"/>
      <c r="BM57" s="508"/>
      <c r="BN57" s="508"/>
      <c r="BO57" s="508"/>
      <c r="BP57" s="508"/>
      <c r="BQ57" s="508"/>
      <c r="BR57" s="508"/>
      <c r="BS57" s="508"/>
      <c r="BT57" s="508"/>
      <c r="BU57" s="508"/>
      <c r="BV57" s="508"/>
      <c r="BW57" s="508"/>
      <c r="BX57" s="508"/>
      <c r="BY57" s="508"/>
      <c r="BZ57" s="508"/>
      <c r="CA57" s="508"/>
    </row>
    <row r="58" spans="33:79" x14ac:dyDescent="0.25">
      <c r="AG58" s="508"/>
      <c r="AH58" s="508"/>
      <c r="AI58" s="508"/>
      <c r="AJ58" s="508"/>
      <c r="AK58" s="508"/>
      <c r="AL58" s="508"/>
      <c r="AM58" s="508"/>
      <c r="AN58" s="508"/>
      <c r="AO58" s="508"/>
      <c r="AP58" s="508"/>
      <c r="AQ58" s="508"/>
      <c r="AR58" s="508"/>
      <c r="AS58" s="508"/>
      <c r="AT58" s="508"/>
      <c r="AU58" s="508"/>
      <c r="AV58" s="508"/>
      <c r="AW58" s="508"/>
      <c r="AX58" s="508"/>
      <c r="AY58" s="508"/>
      <c r="AZ58" s="508"/>
      <c r="BA58" s="508"/>
      <c r="BB58" s="508"/>
      <c r="BC58" s="508"/>
      <c r="BD58" s="508"/>
      <c r="BE58" s="508"/>
      <c r="BF58" s="508"/>
      <c r="BG58" s="508"/>
      <c r="BH58" s="508"/>
      <c r="BI58" s="508"/>
      <c r="BJ58" s="508"/>
      <c r="BK58" s="508"/>
      <c r="BL58" s="508"/>
      <c r="BM58" s="508"/>
      <c r="BN58" s="508"/>
      <c r="BO58" s="508"/>
      <c r="BP58" s="508"/>
      <c r="BQ58" s="508"/>
      <c r="BR58" s="508"/>
      <c r="BS58" s="508"/>
      <c r="BT58" s="508"/>
      <c r="BU58" s="508"/>
      <c r="BV58" s="508"/>
      <c r="BW58" s="508"/>
      <c r="BX58" s="508"/>
      <c r="BY58" s="508"/>
      <c r="BZ58" s="508"/>
      <c r="CA58" s="508"/>
    </row>
    <row r="59" spans="33:79" x14ac:dyDescent="0.25">
      <c r="AG59" s="508"/>
      <c r="AH59" s="508"/>
      <c r="AI59" s="508"/>
      <c r="AJ59" s="508"/>
      <c r="AK59" s="508"/>
      <c r="AL59" s="508"/>
      <c r="AM59" s="508"/>
      <c r="AN59" s="508"/>
      <c r="AO59" s="508"/>
      <c r="AP59" s="508"/>
      <c r="AQ59" s="508"/>
      <c r="AR59" s="508"/>
      <c r="AS59" s="508"/>
      <c r="AT59" s="508"/>
      <c r="AU59" s="508"/>
      <c r="AV59" s="508"/>
      <c r="AW59" s="508"/>
      <c r="AX59" s="508"/>
      <c r="AY59" s="508"/>
      <c r="AZ59" s="508"/>
      <c r="BA59" s="508"/>
      <c r="BB59" s="508"/>
      <c r="BC59" s="508"/>
      <c r="BD59" s="508"/>
      <c r="BE59" s="508"/>
      <c r="BF59" s="508"/>
      <c r="BG59" s="508"/>
      <c r="BH59" s="508"/>
      <c r="BI59" s="508"/>
      <c r="BJ59" s="508"/>
      <c r="BK59" s="508"/>
      <c r="BL59" s="508"/>
      <c r="BM59" s="508"/>
      <c r="BN59" s="508"/>
      <c r="BO59" s="508"/>
      <c r="BP59" s="508"/>
      <c r="BQ59" s="508"/>
      <c r="BR59" s="508"/>
      <c r="BS59" s="508"/>
      <c r="BT59" s="508"/>
      <c r="BU59" s="508"/>
      <c r="BV59" s="508"/>
      <c r="BW59" s="508"/>
      <c r="BX59" s="508"/>
      <c r="BY59" s="508"/>
      <c r="BZ59" s="508"/>
      <c r="CA59" s="508"/>
    </row>
    <row r="60" spans="33:79" x14ac:dyDescent="0.25">
      <c r="AG60" s="508"/>
      <c r="AH60" s="508"/>
      <c r="AI60" s="508"/>
      <c r="AJ60" s="508"/>
      <c r="AK60" s="508"/>
      <c r="AL60" s="508"/>
      <c r="AM60" s="508"/>
      <c r="AN60" s="508"/>
      <c r="AO60" s="508"/>
      <c r="AP60" s="508"/>
      <c r="AQ60" s="508"/>
      <c r="AR60" s="508"/>
      <c r="AS60" s="508"/>
      <c r="AT60" s="508"/>
      <c r="AU60" s="508"/>
      <c r="AV60" s="508"/>
      <c r="AW60" s="508"/>
      <c r="AX60" s="508"/>
      <c r="AY60" s="508"/>
      <c r="AZ60" s="508"/>
      <c r="BA60" s="508"/>
      <c r="BB60" s="508"/>
      <c r="BC60" s="508"/>
      <c r="BD60" s="508"/>
      <c r="BE60" s="508"/>
      <c r="BF60" s="508"/>
      <c r="BG60" s="508"/>
      <c r="BH60" s="508"/>
      <c r="BI60" s="508"/>
      <c r="BJ60" s="508"/>
      <c r="BK60" s="508"/>
      <c r="BL60" s="508"/>
      <c r="BM60" s="508"/>
      <c r="BN60" s="508"/>
      <c r="BO60" s="508"/>
      <c r="BP60" s="508"/>
      <c r="BQ60" s="508"/>
      <c r="BR60" s="508"/>
      <c r="BS60" s="508"/>
      <c r="BT60" s="508"/>
      <c r="BU60" s="508"/>
      <c r="BV60" s="508"/>
      <c r="BW60" s="508"/>
      <c r="BX60" s="508"/>
      <c r="BY60" s="508"/>
      <c r="BZ60" s="508"/>
      <c r="CA60" s="508"/>
    </row>
    <row r="61" spans="33:79" x14ac:dyDescent="0.25">
      <c r="AG61" s="508"/>
      <c r="AH61" s="508"/>
      <c r="AI61" s="508"/>
      <c r="AJ61" s="508"/>
      <c r="AK61" s="508"/>
      <c r="AL61" s="508"/>
      <c r="AM61" s="508"/>
      <c r="AN61" s="508"/>
      <c r="AO61" s="508"/>
      <c r="AP61" s="508"/>
      <c r="AQ61" s="508"/>
      <c r="AR61" s="508"/>
      <c r="AS61" s="508"/>
      <c r="AT61" s="508"/>
      <c r="AU61" s="508"/>
      <c r="AV61" s="508"/>
      <c r="AW61" s="508"/>
      <c r="AX61" s="508"/>
      <c r="AY61" s="508"/>
      <c r="AZ61" s="508"/>
      <c r="BA61" s="508"/>
      <c r="BB61" s="508"/>
      <c r="BC61" s="508"/>
      <c r="BD61" s="508"/>
      <c r="BE61" s="508"/>
      <c r="BF61" s="508"/>
      <c r="BG61" s="508"/>
      <c r="BH61" s="508"/>
      <c r="BI61" s="508"/>
      <c r="BJ61" s="508"/>
      <c r="BK61" s="508"/>
      <c r="BL61" s="508"/>
      <c r="BM61" s="508"/>
      <c r="BN61" s="508"/>
      <c r="BO61" s="508"/>
      <c r="BP61" s="508"/>
      <c r="BQ61" s="508"/>
      <c r="BR61" s="508"/>
      <c r="BS61" s="508"/>
      <c r="BT61" s="508"/>
      <c r="BU61" s="508"/>
      <c r="BV61" s="508"/>
      <c r="BW61" s="508"/>
      <c r="BX61" s="508"/>
      <c r="BY61" s="508"/>
      <c r="BZ61" s="508"/>
      <c r="CA61" s="508"/>
    </row>
  </sheetData>
  <sheetProtection algorithmName="SHA-512" hashValue="bNCqRLviVRG4HiT9qe4+A1Jg2qH18Cv2izgMjoVkyTMpL3FgTwZeXg7ZZljzMGLkO9ifsBHUUITYxkNR0Iga7w==" saltValue="qRzkll0Ru3+NTNkM7IMNP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sheetPr>
  <dimension ref="A1:DJ61"/>
  <sheetViews>
    <sheetView zoomScale="70" zoomScaleNormal="70" workbookViewId="0">
      <selection activeCell="D10" sqref="D10"/>
    </sheetView>
  </sheetViews>
  <sheetFormatPr defaultColWidth="8" defaultRowHeight="13.2" x14ac:dyDescent="0.25"/>
  <cols>
    <col min="1" max="1" width="6.5546875" style="507" bestFit="1" customWidth="1"/>
    <col min="2" max="2" width="24.5546875" style="516" customWidth="1"/>
    <col min="3" max="3" width="16.5546875" style="516" customWidth="1"/>
    <col min="4" max="28" width="16.5546875" style="506" customWidth="1"/>
    <col min="29" max="32" width="16.5546875" style="507" customWidth="1"/>
    <col min="33" max="33" width="23.44140625" style="509" bestFit="1" customWidth="1"/>
    <col min="34" max="34" width="16.5546875" style="509" customWidth="1"/>
    <col min="35" max="16384" width="8" style="509"/>
  </cols>
  <sheetData>
    <row r="1" spans="1:114" ht="15.6" x14ac:dyDescent="0.3">
      <c r="A1" s="475" t="s">
        <v>1304</v>
      </c>
      <c r="B1" s="504"/>
      <c r="C1" s="505"/>
      <c r="D1" s="478"/>
      <c r="E1" s="505"/>
      <c r="F1" s="505"/>
      <c r="AB1" s="507"/>
      <c r="AC1" s="508"/>
      <c r="AD1" s="508"/>
      <c r="AE1" s="508"/>
      <c r="AF1" s="508"/>
      <c r="AG1" s="508"/>
      <c r="AH1" s="508"/>
      <c r="AI1" s="508"/>
      <c r="AJ1" s="508"/>
      <c r="AK1" s="508"/>
      <c r="AL1" s="508"/>
      <c r="AM1" s="508"/>
      <c r="AN1" s="508"/>
      <c r="AO1" s="508"/>
      <c r="AP1" s="508"/>
      <c r="AQ1" s="508"/>
      <c r="AR1" s="508"/>
      <c r="AS1" s="508"/>
      <c r="AT1" s="508"/>
      <c r="AU1" s="508"/>
      <c r="AV1" s="508"/>
      <c r="AW1" s="508"/>
      <c r="AX1" s="508"/>
      <c r="AY1" s="508"/>
      <c r="AZ1" s="508"/>
      <c r="BA1" s="508"/>
      <c r="BB1" s="508"/>
      <c r="BC1" s="508"/>
      <c r="BD1" s="508"/>
      <c r="BE1" s="508"/>
      <c r="BF1" s="508"/>
      <c r="BG1" s="508"/>
      <c r="BH1" s="508"/>
      <c r="BI1" s="508"/>
      <c r="BJ1" s="508"/>
      <c r="BK1" s="508"/>
      <c r="BL1" s="508"/>
      <c r="BM1" s="508"/>
      <c r="BN1" s="508"/>
      <c r="BO1" s="508"/>
      <c r="BP1" s="508"/>
      <c r="BQ1" s="508"/>
      <c r="BR1" s="508"/>
      <c r="BS1" s="508"/>
      <c r="BT1" s="508"/>
      <c r="BU1" s="508"/>
      <c r="BV1" s="508"/>
      <c r="BW1" s="508"/>
      <c r="BX1" s="508"/>
      <c r="BY1" s="508"/>
      <c r="BZ1" s="508"/>
      <c r="CA1" s="508"/>
      <c r="CB1" s="508"/>
      <c r="CC1" s="508"/>
      <c r="CD1" s="508"/>
      <c r="CE1" s="508"/>
      <c r="CF1" s="508"/>
      <c r="CG1" s="508"/>
      <c r="CH1" s="508"/>
      <c r="CI1" s="508"/>
      <c r="CJ1" s="508"/>
      <c r="CK1" s="508"/>
      <c r="CL1" s="508"/>
      <c r="CM1" s="508"/>
      <c r="CN1" s="508"/>
      <c r="CO1" s="508"/>
      <c r="CP1" s="508"/>
      <c r="CQ1" s="508"/>
      <c r="CR1" s="508"/>
      <c r="CS1" s="508"/>
      <c r="CT1" s="508"/>
      <c r="CU1" s="508"/>
      <c r="CV1" s="508"/>
      <c r="CW1" s="508"/>
      <c r="CX1" s="508"/>
      <c r="CY1" s="508"/>
      <c r="CZ1" s="508"/>
      <c r="DA1" s="508"/>
      <c r="DB1" s="508"/>
      <c r="DC1" s="508"/>
      <c r="DD1" s="508"/>
      <c r="DE1" s="508"/>
      <c r="DF1" s="508"/>
      <c r="DG1" s="508"/>
      <c r="DH1" s="508"/>
      <c r="DI1" s="508"/>
      <c r="DJ1" s="508"/>
    </row>
    <row r="2" spans="1:114" x14ac:dyDescent="0.25">
      <c r="A2" s="201" t="s">
        <v>26</v>
      </c>
      <c r="B2" s="201"/>
      <c r="C2" s="445" t="str">
        <f>'Schedule 2_Balance Sheet'!C2</f>
        <v>Tufts Associated Health Plans, Inc. (TAHMO)</v>
      </c>
      <c r="D2" s="446"/>
      <c r="E2" s="446"/>
      <c r="F2" s="447"/>
      <c r="AB2" s="507"/>
      <c r="AC2" s="508"/>
      <c r="AD2" s="508"/>
      <c r="AE2" s="508"/>
      <c r="AF2" s="508"/>
      <c r="AG2" s="508"/>
      <c r="AH2" s="508"/>
      <c r="AI2" s="508"/>
      <c r="AJ2" s="508"/>
      <c r="AK2" s="508"/>
      <c r="AL2" s="508"/>
      <c r="AM2" s="508"/>
      <c r="AN2" s="508"/>
      <c r="AO2" s="508"/>
      <c r="AP2" s="508"/>
      <c r="AQ2" s="508"/>
      <c r="AR2" s="508"/>
      <c r="AS2" s="508"/>
      <c r="AT2" s="508"/>
      <c r="AU2" s="508"/>
      <c r="AV2" s="508"/>
      <c r="AW2" s="508"/>
      <c r="AX2" s="508"/>
      <c r="AY2" s="508"/>
      <c r="AZ2" s="508"/>
      <c r="BA2" s="508"/>
      <c r="BB2" s="508"/>
      <c r="BC2" s="508"/>
      <c r="BD2" s="508"/>
      <c r="BE2" s="508"/>
      <c r="BF2" s="508"/>
      <c r="BG2" s="508"/>
      <c r="BH2" s="508"/>
      <c r="BI2" s="508"/>
      <c r="BJ2" s="508"/>
      <c r="BK2" s="508"/>
      <c r="BL2" s="508"/>
      <c r="BM2" s="508"/>
      <c r="BN2" s="508"/>
      <c r="BO2" s="508"/>
      <c r="BP2" s="508"/>
      <c r="BQ2" s="508"/>
      <c r="BR2" s="508"/>
      <c r="BS2" s="508"/>
      <c r="BT2" s="508"/>
      <c r="BU2" s="508"/>
      <c r="BV2" s="508"/>
      <c r="BW2" s="508"/>
      <c r="BX2" s="508"/>
      <c r="BY2" s="508"/>
      <c r="BZ2" s="508"/>
      <c r="CA2" s="508"/>
      <c r="CB2" s="508"/>
      <c r="CC2" s="508"/>
      <c r="CD2" s="508"/>
      <c r="CE2" s="508"/>
      <c r="CF2" s="508"/>
      <c r="CG2" s="508"/>
      <c r="CH2" s="508"/>
      <c r="CI2" s="508"/>
      <c r="CJ2" s="508"/>
      <c r="CK2" s="508"/>
      <c r="CL2" s="508"/>
      <c r="CM2" s="508"/>
      <c r="CN2" s="508"/>
      <c r="CO2" s="508"/>
      <c r="CP2" s="508"/>
      <c r="CQ2" s="508"/>
      <c r="CR2" s="508"/>
      <c r="CS2" s="508"/>
      <c r="CT2" s="508"/>
      <c r="CU2" s="508"/>
      <c r="CV2" s="508"/>
      <c r="CW2" s="508"/>
      <c r="CX2" s="508"/>
      <c r="CY2" s="508"/>
      <c r="CZ2" s="508"/>
      <c r="DA2" s="508"/>
      <c r="DB2" s="508"/>
      <c r="DC2" s="508"/>
      <c r="DD2" s="508"/>
      <c r="DE2" s="508"/>
      <c r="DF2" s="508"/>
      <c r="DG2" s="508"/>
      <c r="DH2" s="508"/>
      <c r="DI2" s="508"/>
      <c r="DJ2" s="508"/>
    </row>
    <row r="3" spans="1:114" x14ac:dyDescent="0.25">
      <c r="A3" s="201" t="s">
        <v>0</v>
      </c>
      <c r="B3" s="201"/>
      <c r="C3" s="580" t="str">
        <f>'Schedule 2_Balance Sheet'!C3</f>
        <v>01/01/2024 - 12/31/2024</v>
      </c>
      <c r="D3" s="581"/>
      <c r="E3" s="581"/>
      <c r="F3" s="582"/>
      <c r="AB3" s="507"/>
      <c r="AC3" s="508"/>
      <c r="AD3" s="508"/>
      <c r="AE3" s="508"/>
      <c r="AF3" s="508"/>
      <c r="AG3" s="508"/>
      <c r="AH3" s="508"/>
      <c r="AI3" s="508"/>
      <c r="AJ3" s="508"/>
      <c r="AK3" s="508"/>
      <c r="AL3" s="508"/>
      <c r="AM3" s="508"/>
      <c r="AN3" s="508"/>
      <c r="AO3" s="508"/>
      <c r="AP3" s="508"/>
      <c r="AQ3" s="508"/>
      <c r="AR3" s="508"/>
      <c r="AS3" s="508"/>
      <c r="AT3" s="508"/>
      <c r="AU3" s="508"/>
      <c r="AV3" s="508"/>
      <c r="AW3" s="508"/>
      <c r="AX3" s="508"/>
      <c r="AY3" s="508"/>
      <c r="AZ3" s="508"/>
      <c r="BA3" s="508"/>
      <c r="BB3" s="508"/>
      <c r="BC3" s="508"/>
      <c r="BD3" s="508"/>
      <c r="BE3" s="508"/>
      <c r="BF3" s="508"/>
      <c r="BG3" s="508"/>
      <c r="BH3" s="508"/>
      <c r="BI3" s="508"/>
      <c r="BJ3" s="508"/>
      <c r="BK3" s="508"/>
      <c r="BL3" s="508"/>
      <c r="BM3" s="508"/>
      <c r="BN3" s="508"/>
      <c r="BO3" s="508"/>
      <c r="BP3" s="508"/>
      <c r="BQ3" s="508"/>
      <c r="BR3" s="508"/>
      <c r="BS3" s="508"/>
      <c r="BT3" s="508"/>
      <c r="BU3" s="508"/>
      <c r="BV3" s="508"/>
      <c r="BW3" s="508"/>
      <c r="BX3" s="508"/>
      <c r="BY3" s="508"/>
      <c r="BZ3" s="508"/>
      <c r="CA3" s="508"/>
      <c r="CB3" s="508"/>
      <c r="CC3" s="508"/>
      <c r="CD3" s="508"/>
      <c r="CE3" s="508"/>
      <c r="CF3" s="508"/>
      <c r="CG3" s="508"/>
      <c r="CH3" s="508"/>
      <c r="CI3" s="508"/>
      <c r="CJ3" s="508"/>
      <c r="CK3" s="508"/>
      <c r="CL3" s="508"/>
      <c r="CM3" s="508"/>
      <c r="CN3" s="508"/>
      <c r="CO3" s="508"/>
      <c r="CP3" s="508"/>
      <c r="CQ3" s="508"/>
      <c r="CR3" s="508"/>
      <c r="CS3" s="508"/>
      <c r="CT3" s="508"/>
      <c r="CU3" s="508"/>
      <c r="CV3" s="508"/>
      <c r="CW3" s="508"/>
      <c r="CX3" s="508"/>
      <c r="CY3" s="508"/>
      <c r="CZ3" s="508"/>
      <c r="DA3" s="508"/>
      <c r="DB3" s="508"/>
      <c r="DC3" s="508"/>
      <c r="DD3" s="508"/>
      <c r="DE3" s="508"/>
      <c r="DF3" s="508"/>
      <c r="DG3" s="508"/>
      <c r="DH3" s="508"/>
      <c r="DI3" s="508"/>
      <c r="DJ3" s="508"/>
    </row>
    <row r="4" spans="1:114" x14ac:dyDescent="0.25">
      <c r="A4" s="201" t="s">
        <v>27</v>
      </c>
      <c r="B4" s="201"/>
      <c r="C4" s="449">
        <f>'Schedule 2_Balance Sheet'!C4</f>
        <v>45657</v>
      </c>
      <c r="D4" s="446"/>
      <c r="E4" s="446"/>
      <c r="F4" s="447"/>
      <c r="AB4" s="507"/>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c r="CA4" s="508"/>
      <c r="CB4" s="508"/>
      <c r="CC4" s="508"/>
      <c r="CD4" s="508"/>
      <c r="CE4" s="508"/>
      <c r="CF4" s="508"/>
      <c r="CG4" s="508"/>
      <c r="CH4" s="508"/>
      <c r="CI4" s="508"/>
      <c r="CJ4" s="508"/>
      <c r="CK4" s="508"/>
      <c r="CL4" s="508"/>
      <c r="CM4" s="508"/>
      <c r="CN4" s="508"/>
      <c r="CO4" s="508"/>
      <c r="CP4" s="508"/>
      <c r="CQ4" s="508"/>
      <c r="CR4" s="508"/>
      <c r="CS4" s="508"/>
      <c r="CT4" s="508"/>
      <c r="CU4" s="508"/>
      <c r="CV4" s="508"/>
      <c r="CW4" s="508"/>
      <c r="CX4" s="508"/>
      <c r="CY4" s="508"/>
      <c r="CZ4" s="508"/>
      <c r="DA4" s="508"/>
      <c r="DB4" s="508"/>
      <c r="DC4" s="508"/>
      <c r="DD4" s="508"/>
      <c r="DE4" s="508"/>
      <c r="DF4" s="508"/>
      <c r="DG4" s="508"/>
      <c r="DH4" s="508"/>
      <c r="DI4" s="508"/>
      <c r="DJ4" s="508"/>
    </row>
    <row r="5" spans="1:114" x14ac:dyDescent="0.25">
      <c r="A5" s="201" t="s">
        <v>28</v>
      </c>
      <c r="B5" s="201"/>
      <c r="C5" s="445" t="str">
        <f>'Schedule 2_Balance Sheet'!C5</f>
        <v>Roshni Parikh</v>
      </c>
      <c r="D5" s="446"/>
      <c r="E5" s="446"/>
      <c r="F5" s="447"/>
      <c r="AB5" s="507"/>
      <c r="AC5" s="508"/>
      <c r="AD5" s="508"/>
      <c r="AE5" s="508"/>
      <c r="AF5" s="508"/>
      <c r="AG5" s="508"/>
      <c r="AH5" s="508"/>
      <c r="AI5" s="508"/>
      <c r="AJ5" s="508"/>
      <c r="AK5" s="508"/>
      <c r="AL5" s="508"/>
      <c r="AM5" s="508"/>
      <c r="AN5" s="508"/>
      <c r="AO5" s="508"/>
      <c r="AP5" s="508"/>
      <c r="AQ5" s="508"/>
      <c r="AR5" s="508"/>
      <c r="AS5" s="508"/>
      <c r="AT5" s="508"/>
      <c r="AU5" s="508"/>
      <c r="AV5" s="508"/>
      <c r="AW5" s="508"/>
      <c r="AX5" s="508"/>
      <c r="AY5" s="508"/>
      <c r="AZ5" s="508"/>
      <c r="BA5" s="508"/>
      <c r="BB5" s="508"/>
      <c r="BC5" s="508"/>
      <c r="BD5" s="508"/>
      <c r="BE5" s="508"/>
      <c r="BF5" s="508"/>
      <c r="BG5" s="508"/>
      <c r="BH5" s="508"/>
      <c r="BI5" s="508"/>
      <c r="BJ5" s="508"/>
      <c r="BK5" s="508"/>
      <c r="BL5" s="508"/>
      <c r="BM5" s="508"/>
      <c r="BN5" s="508"/>
      <c r="BO5" s="508"/>
      <c r="BP5" s="508"/>
      <c r="BQ5" s="508"/>
      <c r="BR5" s="508"/>
      <c r="BS5" s="508"/>
      <c r="BT5" s="508"/>
      <c r="BU5" s="508"/>
      <c r="BV5" s="508"/>
      <c r="BW5" s="508"/>
      <c r="BX5" s="508"/>
      <c r="BY5" s="508"/>
      <c r="BZ5" s="508"/>
      <c r="CA5" s="508"/>
      <c r="CB5" s="508"/>
      <c r="CC5" s="508"/>
      <c r="CD5" s="508"/>
      <c r="CE5" s="508"/>
      <c r="CF5" s="508"/>
      <c r="CG5" s="508"/>
      <c r="CH5" s="508"/>
      <c r="CI5" s="508"/>
      <c r="CJ5" s="508"/>
      <c r="CK5" s="508"/>
      <c r="CL5" s="508"/>
      <c r="CM5" s="508"/>
      <c r="CN5" s="508"/>
      <c r="CO5" s="508"/>
      <c r="CP5" s="508"/>
      <c r="CQ5" s="508"/>
      <c r="CR5" s="508"/>
      <c r="CS5" s="508"/>
      <c r="CT5" s="508"/>
      <c r="CU5" s="508"/>
      <c r="CV5" s="508"/>
      <c r="CW5" s="508"/>
      <c r="CX5" s="508"/>
      <c r="CY5" s="508"/>
      <c r="CZ5" s="508"/>
      <c r="DA5" s="508"/>
      <c r="DB5" s="508"/>
      <c r="DC5" s="508"/>
      <c r="DD5" s="508"/>
      <c r="DE5" s="508"/>
      <c r="DF5" s="508"/>
      <c r="DG5" s="508"/>
      <c r="DH5" s="508"/>
      <c r="DI5" s="508"/>
      <c r="DJ5" s="508"/>
    </row>
    <row r="6" spans="1:114" x14ac:dyDescent="0.25">
      <c r="A6" s="201" t="s">
        <v>29</v>
      </c>
      <c r="B6" s="201"/>
      <c r="C6" s="449">
        <f>'Schedule 2_Balance Sheet'!C6</f>
        <v>45657</v>
      </c>
      <c r="D6" s="446"/>
      <c r="E6" s="446"/>
      <c r="F6" s="447"/>
      <c r="AB6" s="507"/>
      <c r="AC6" s="508"/>
      <c r="AD6" s="508"/>
      <c r="AE6" s="508"/>
      <c r="AF6" s="508"/>
      <c r="AG6" s="508"/>
      <c r="AH6" s="508"/>
      <c r="AI6" s="508"/>
      <c r="AJ6" s="508"/>
      <c r="AK6" s="508"/>
      <c r="AL6" s="508"/>
      <c r="AM6" s="508"/>
      <c r="AN6" s="508"/>
      <c r="AO6" s="508"/>
      <c r="AP6" s="508"/>
      <c r="AQ6" s="508"/>
      <c r="AR6" s="508"/>
      <c r="AS6" s="508"/>
      <c r="AT6" s="508"/>
      <c r="AU6" s="508"/>
      <c r="AV6" s="508"/>
      <c r="AW6" s="508"/>
      <c r="AX6" s="508"/>
      <c r="AY6" s="508"/>
      <c r="AZ6" s="508"/>
      <c r="BA6" s="508"/>
      <c r="BB6" s="508"/>
      <c r="BC6" s="508"/>
      <c r="BD6" s="508"/>
      <c r="BE6" s="508"/>
      <c r="BF6" s="508"/>
      <c r="BG6" s="508"/>
      <c r="BH6" s="508"/>
      <c r="BI6" s="508"/>
      <c r="BJ6" s="508"/>
      <c r="BK6" s="508"/>
      <c r="BL6" s="508"/>
      <c r="BM6" s="508"/>
      <c r="BN6" s="508"/>
      <c r="BO6" s="508"/>
      <c r="BP6" s="508"/>
      <c r="BQ6" s="508"/>
      <c r="BR6" s="508"/>
      <c r="BS6" s="508"/>
      <c r="BT6" s="508"/>
      <c r="BU6" s="508"/>
      <c r="BV6" s="508"/>
      <c r="BW6" s="508"/>
      <c r="BX6" s="508"/>
      <c r="BY6" s="508"/>
      <c r="BZ6" s="508"/>
      <c r="CA6" s="508"/>
      <c r="CB6" s="508"/>
      <c r="CC6" s="508"/>
      <c r="CD6" s="508"/>
      <c r="CE6" s="508"/>
      <c r="CF6" s="508"/>
      <c r="CG6" s="508"/>
      <c r="CH6" s="508"/>
      <c r="CI6" s="508"/>
      <c r="CJ6" s="508"/>
      <c r="CK6" s="508"/>
      <c r="CL6" s="508"/>
      <c r="CM6" s="508"/>
      <c r="CN6" s="508"/>
      <c r="CO6" s="508"/>
      <c r="CP6" s="508"/>
      <c r="CQ6" s="508"/>
      <c r="CR6" s="508"/>
      <c r="CS6" s="508"/>
      <c r="CT6" s="508"/>
      <c r="CU6" s="508"/>
      <c r="CV6" s="508"/>
      <c r="CW6" s="508"/>
      <c r="CX6" s="508"/>
      <c r="CY6" s="508"/>
      <c r="CZ6" s="508"/>
      <c r="DA6" s="508"/>
      <c r="DB6" s="508"/>
      <c r="DC6" s="508"/>
      <c r="DD6" s="508"/>
      <c r="DE6" s="508"/>
      <c r="DF6" s="508"/>
      <c r="DG6" s="508"/>
      <c r="DH6" s="508"/>
      <c r="DI6" s="508"/>
      <c r="DJ6" s="508"/>
    </row>
    <row r="7" spans="1:114" ht="13.8" thickBot="1" x14ac:dyDescent="0.3">
      <c r="A7" s="199" t="s">
        <v>542</v>
      </c>
      <c r="B7" s="387"/>
      <c r="C7" s="387"/>
      <c r="D7" s="387"/>
      <c r="E7" s="387"/>
      <c r="F7" s="387"/>
      <c r="G7" s="387"/>
      <c r="H7" s="387"/>
      <c r="AB7" s="507"/>
      <c r="AC7" s="508"/>
      <c r="AD7" s="508"/>
      <c r="AE7" s="508"/>
      <c r="AF7" s="508"/>
      <c r="AG7" s="508"/>
      <c r="AH7" s="508"/>
      <c r="AI7" s="508"/>
      <c r="AJ7" s="508"/>
      <c r="AK7" s="508"/>
      <c r="AL7" s="508"/>
      <c r="AM7" s="508"/>
      <c r="AN7" s="508"/>
      <c r="AO7" s="508"/>
      <c r="AP7" s="508"/>
      <c r="AQ7" s="508"/>
      <c r="AR7" s="508"/>
      <c r="AS7" s="508"/>
      <c r="AT7" s="508"/>
      <c r="AU7" s="508"/>
      <c r="AV7" s="508"/>
      <c r="AW7" s="508"/>
      <c r="AX7" s="508"/>
      <c r="AY7" s="508"/>
      <c r="AZ7" s="508"/>
      <c r="BA7" s="508"/>
      <c r="BB7" s="508"/>
      <c r="BC7" s="508"/>
      <c r="BD7" s="508"/>
      <c r="BE7" s="508"/>
      <c r="BF7" s="508"/>
      <c r="BG7" s="508"/>
      <c r="BH7" s="508"/>
      <c r="BI7" s="508"/>
      <c r="BJ7" s="508"/>
      <c r="BK7" s="508"/>
      <c r="BL7" s="508"/>
      <c r="BM7" s="508"/>
      <c r="BN7" s="508"/>
      <c r="BO7" s="508"/>
      <c r="BP7" s="508"/>
      <c r="BQ7" s="508"/>
      <c r="BR7" s="508"/>
      <c r="BS7" s="508"/>
      <c r="BT7" s="508"/>
      <c r="BU7" s="508"/>
      <c r="BV7" s="508"/>
      <c r="BW7" s="508"/>
      <c r="BX7" s="508"/>
      <c r="BY7" s="508"/>
      <c r="BZ7" s="508"/>
      <c r="CA7" s="508"/>
      <c r="CB7" s="508"/>
      <c r="CC7" s="508"/>
      <c r="CD7" s="508"/>
      <c r="CE7" s="508"/>
      <c r="CF7" s="508"/>
      <c r="CG7" s="508"/>
      <c r="CH7" s="508"/>
      <c r="CI7" s="508"/>
      <c r="CJ7" s="508"/>
      <c r="CK7" s="508"/>
      <c r="CL7" s="508"/>
      <c r="CM7" s="508"/>
      <c r="CN7" s="508"/>
      <c r="CO7" s="508"/>
      <c r="CP7" s="508"/>
      <c r="CQ7" s="508"/>
      <c r="CR7" s="508"/>
      <c r="CS7" s="508"/>
      <c r="CT7" s="508"/>
      <c r="CU7" s="508"/>
      <c r="CV7" s="508"/>
      <c r="CW7" s="508"/>
      <c r="CX7" s="508"/>
      <c r="CY7" s="508"/>
      <c r="CZ7" s="508"/>
      <c r="DA7" s="508"/>
      <c r="DB7" s="508"/>
      <c r="DC7" s="508"/>
      <c r="DD7" s="508"/>
      <c r="DE7" s="508"/>
      <c r="DF7" s="508"/>
      <c r="DG7" s="508"/>
      <c r="DH7" s="508"/>
      <c r="DI7" s="508"/>
      <c r="DJ7" s="508"/>
    </row>
    <row r="8" spans="1:114" s="510" customFormat="1" ht="16.5" customHeight="1" thickBot="1" x14ac:dyDescent="0.3">
      <c r="A8" s="557"/>
      <c r="B8" s="558"/>
      <c r="C8" s="559" t="s">
        <v>519</v>
      </c>
      <c r="D8" s="559"/>
      <c r="E8" s="560"/>
      <c r="F8" s="560"/>
      <c r="G8" s="560"/>
      <c r="H8" s="559"/>
      <c r="I8" s="559"/>
      <c r="J8" s="560"/>
      <c r="K8" s="560"/>
      <c r="L8" s="561"/>
      <c r="M8" s="559" t="s">
        <v>519</v>
      </c>
      <c r="N8" s="559"/>
      <c r="O8" s="560"/>
      <c r="P8" s="561"/>
      <c r="Q8" s="560"/>
      <c r="R8" s="559"/>
      <c r="S8" s="559"/>
      <c r="T8" s="560"/>
      <c r="U8" s="560"/>
      <c r="V8" s="561"/>
      <c r="W8" s="559" t="s">
        <v>519</v>
      </c>
      <c r="X8" s="559"/>
      <c r="Y8" s="560"/>
      <c r="Z8" s="560"/>
      <c r="AA8" s="560"/>
      <c r="AB8" s="562"/>
      <c r="AC8" s="559"/>
      <c r="AD8" s="559"/>
      <c r="AE8" s="559"/>
      <c r="AF8" s="585"/>
      <c r="AG8" s="563"/>
      <c r="AH8" s="564"/>
    </row>
    <row r="9" spans="1:114" s="511" customFormat="1" ht="27" thickBot="1" x14ac:dyDescent="0.3">
      <c r="A9" s="553" t="s">
        <v>226</v>
      </c>
      <c r="B9" s="554" t="s">
        <v>520</v>
      </c>
      <c r="C9" s="545">
        <f t="array" ref="C9:AF9">TRANSPOSE(B10:B39)</f>
        <v>45688</v>
      </c>
      <c r="D9" s="546">
        <v>45657</v>
      </c>
      <c r="E9" s="546">
        <v>45626</v>
      </c>
      <c r="F9" s="546">
        <v>45596</v>
      </c>
      <c r="G9" s="546">
        <v>45565</v>
      </c>
      <c r="H9" s="546">
        <v>45535</v>
      </c>
      <c r="I9" s="546">
        <v>45504</v>
      </c>
      <c r="J9" s="546">
        <v>45473</v>
      </c>
      <c r="K9" s="546">
        <v>45443</v>
      </c>
      <c r="L9" s="546">
        <v>45412</v>
      </c>
      <c r="M9" s="546">
        <v>45382</v>
      </c>
      <c r="N9" s="546">
        <v>45351</v>
      </c>
      <c r="O9" s="547">
        <v>45322</v>
      </c>
      <c r="P9" s="546">
        <v>45291</v>
      </c>
      <c r="Q9" s="547">
        <v>45260</v>
      </c>
      <c r="R9" s="546">
        <v>45230</v>
      </c>
      <c r="S9" s="547">
        <v>45199</v>
      </c>
      <c r="T9" s="547">
        <v>45169</v>
      </c>
      <c r="U9" s="547">
        <v>45138</v>
      </c>
      <c r="V9" s="546">
        <v>45107</v>
      </c>
      <c r="W9" s="547">
        <v>45077</v>
      </c>
      <c r="X9" s="547">
        <v>45046</v>
      </c>
      <c r="Y9" s="547">
        <v>45016</v>
      </c>
      <c r="Z9" s="546">
        <v>44985</v>
      </c>
      <c r="AA9" s="547">
        <v>44957</v>
      </c>
      <c r="AB9" s="546">
        <v>44926</v>
      </c>
      <c r="AC9" s="547">
        <v>44895</v>
      </c>
      <c r="AD9" s="547">
        <v>44865</v>
      </c>
      <c r="AE9" s="546">
        <v>44834</v>
      </c>
      <c r="AF9" s="586">
        <v>44804</v>
      </c>
      <c r="AG9" s="544" t="s">
        <v>528</v>
      </c>
      <c r="AH9" s="548" t="s">
        <v>521</v>
      </c>
    </row>
    <row r="10" spans="1:114" s="511" customFormat="1" x14ac:dyDescent="0.25">
      <c r="A10" s="534">
        <v>1</v>
      </c>
      <c r="B10" s="578">
        <f>EOMONTH(B11,1)</f>
        <v>45688</v>
      </c>
      <c r="C10" s="522"/>
      <c r="D10" s="522">
        <v>2252002.79</v>
      </c>
      <c r="E10" s="522">
        <v>624705.66</v>
      </c>
      <c r="F10" s="522">
        <v>163361.14000000001</v>
      </c>
      <c r="G10" s="522">
        <v>8519.7199999999993</v>
      </c>
      <c r="H10" s="522">
        <v>9469.61</v>
      </c>
      <c r="I10" s="522">
        <v>62636.01</v>
      </c>
      <c r="J10" s="522">
        <v>14341.17</v>
      </c>
      <c r="K10" s="522">
        <v>5933.12</v>
      </c>
      <c r="L10" s="522">
        <v>3356.02</v>
      </c>
      <c r="M10" s="522">
        <v>6705.64</v>
      </c>
      <c r="N10" s="522">
        <v>11739.24</v>
      </c>
      <c r="O10" s="522">
        <v>7388.03</v>
      </c>
      <c r="P10" s="522">
        <v>12843.59</v>
      </c>
      <c r="Q10" s="522">
        <v>2031.28</v>
      </c>
      <c r="R10" s="522">
        <v>179.67</v>
      </c>
      <c r="S10" s="522">
        <v>8674.2000000000007</v>
      </c>
      <c r="T10" s="522">
        <v>459.49</v>
      </c>
      <c r="U10" s="522">
        <v>-288.67</v>
      </c>
      <c r="V10" s="522">
        <v>0</v>
      </c>
      <c r="W10" s="522">
        <v>4695.6899999999996</v>
      </c>
      <c r="X10" s="522"/>
      <c r="Y10" s="522"/>
      <c r="Z10" s="522"/>
      <c r="AA10" s="522"/>
      <c r="AB10" s="522"/>
      <c r="AC10" s="522"/>
      <c r="AD10" s="522"/>
      <c r="AE10" s="522"/>
      <c r="AF10" s="572"/>
      <c r="AG10" s="571">
        <v>-33809.519999999997</v>
      </c>
      <c r="AH10" s="533">
        <f t="shared" ref="AH10:AH38" si="0">SUM(C10:AG10)</f>
        <v>3164943.8800000004</v>
      </c>
    </row>
    <row r="11" spans="1:114" s="511" customFormat="1" x14ac:dyDescent="0.25">
      <c r="A11" s="534">
        <v>2</v>
      </c>
      <c r="B11" s="535">
        <f>'Schedule 2_Balance Sheet'!C4</f>
        <v>45657</v>
      </c>
      <c r="C11" s="551"/>
      <c r="D11" s="584">
        <v>2272065.7000000002</v>
      </c>
      <c r="E11" s="584">
        <v>1595494.45</v>
      </c>
      <c r="F11" s="584">
        <v>619108.98</v>
      </c>
      <c r="G11" s="584">
        <v>74760.63</v>
      </c>
      <c r="H11" s="584">
        <v>18549.82</v>
      </c>
      <c r="I11" s="584">
        <v>48052.77</v>
      </c>
      <c r="J11" s="584">
        <v>40134.32</v>
      </c>
      <c r="K11" s="584">
        <v>23097.22</v>
      </c>
      <c r="L11" s="584">
        <v>-2477.86</v>
      </c>
      <c r="M11" s="584">
        <v>1244.6199999999999</v>
      </c>
      <c r="N11" s="584">
        <v>-2957.2</v>
      </c>
      <c r="O11" s="584">
        <v>673.79</v>
      </c>
      <c r="P11" s="584">
        <v>-2520.8000000000002</v>
      </c>
      <c r="Q11" s="584">
        <v>-2215.0100000000002</v>
      </c>
      <c r="R11" s="584">
        <v>-1918.9</v>
      </c>
      <c r="S11" s="584">
        <v>-2184.37</v>
      </c>
      <c r="T11" s="584">
        <v>-572.64</v>
      </c>
      <c r="U11" s="584">
        <v>-1752.49</v>
      </c>
      <c r="V11" s="584">
        <v>-1000.92</v>
      </c>
      <c r="W11" s="584">
        <v>-1144.72</v>
      </c>
      <c r="X11" s="584"/>
      <c r="Y11" s="584"/>
      <c r="Z11" s="584"/>
      <c r="AA11" s="584"/>
      <c r="AB11" s="584"/>
      <c r="AC11" s="584"/>
      <c r="AD11" s="584"/>
      <c r="AE11" s="584"/>
      <c r="AF11" s="573"/>
      <c r="AG11" s="569">
        <v>-11847.430000000002</v>
      </c>
      <c r="AH11" s="533">
        <f t="shared" si="0"/>
        <v>4662589.9600000009</v>
      </c>
    </row>
    <row r="12" spans="1:114" s="510" customFormat="1" ht="15" customHeight="1" x14ac:dyDescent="0.25">
      <c r="A12" s="534">
        <v>3</v>
      </c>
      <c r="B12" s="535">
        <f>EOMONTH(B11,-1)</f>
        <v>45626</v>
      </c>
      <c r="C12" s="551"/>
      <c r="D12" s="551">
        <v>0</v>
      </c>
      <c r="E12" s="523">
        <v>2290228.5299999998</v>
      </c>
      <c r="F12" s="523">
        <v>2867543.44</v>
      </c>
      <c r="G12" s="523">
        <v>770846.62</v>
      </c>
      <c r="H12" s="523">
        <v>215513.34</v>
      </c>
      <c r="I12" s="523">
        <v>43589.69</v>
      </c>
      <c r="J12" s="523">
        <v>26427.67</v>
      </c>
      <c r="K12" s="523">
        <v>-13982.04</v>
      </c>
      <c r="L12" s="523">
        <v>30604.19</v>
      </c>
      <c r="M12" s="523">
        <v>10356.44</v>
      </c>
      <c r="N12" s="523">
        <v>7788.22</v>
      </c>
      <c r="O12" s="523">
        <v>12338.81</v>
      </c>
      <c r="P12" s="523">
        <v>5807.86</v>
      </c>
      <c r="Q12" s="523">
        <v>1766.62</v>
      </c>
      <c r="R12" s="523">
        <v>3643.57</v>
      </c>
      <c r="S12" s="523">
        <v>5682.22</v>
      </c>
      <c r="T12" s="523">
        <v>3060.41</v>
      </c>
      <c r="U12" s="523">
        <v>13094.66</v>
      </c>
      <c r="V12" s="523">
        <v>-220.18</v>
      </c>
      <c r="W12" s="523">
        <v>1074.1199999999999</v>
      </c>
      <c r="X12" s="523"/>
      <c r="Y12" s="523"/>
      <c r="Z12" s="523"/>
      <c r="AA12" s="523"/>
      <c r="AB12" s="523"/>
      <c r="AC12" s="523"/>
      <c r="AD12" s="523"/>
      <c r="AE12" s="523"/>
      <c r="AF12" s="565"/>
      <c r="AG12" s="569">
        <v>1315.1599999999999</v>
      </c>
      <c r="AH12" s="533">
        <f t="shared" si="0"/>
        <v>6296479.3500000015</v>
      </c>
    </row>
    <row r="13" spans="1:114" s="510" customFormat="1" ht="15" customHeight="1" x14ac:dyDescent="0.25">
      <c r="A13" s="534">
        <v>4</v>
      </c>
      <c r="B13" s="535">
        <f t="shared" ref="B13:B39" si="1">EOMONTH(B12,-1)</f>
        <v>45596</v>
      </c>
      <c r="C13" s="551"/>
      <c r="D13" s="549">
        <v>0</v>
      </c>
      <c r="E13" s="551">
        <v>0</v>
      </c>
      <c r="F13" s="523">
        <v>1761749.39</v>
      </c>
      <c r="G13" s="523">
        <v>1956279.56</v>
      </c>
      <c r="H13" s="523">
        <v>552945.37</v>
      </c>
      <c r="I13" s="523">
        <v>73346.53</v>
      </c>
      <c r="J13" s="523">
        <v>43978.2</v>
      </c>
      <c r="K13" s="523">
        <v>72034.59</v>
      </c>
      <c r="L13" s="523">
        <v>122179.26</v>
      </c>
      <c r="M13" s="523">
        <v>12226.84</v>
      </c>
      <c r="N13" s="523">
        <v>999.61</v>
      </c>
      <c r="O13" s="523">
        <v>2129.37</v>
      </c>
      <c r="P13" s="523">
        <v>-5609.55</v>
      </c>
      <c r="Q13" s="523">
        <v>-30.07</v>
      </c>
      <c r="R13" s="523">
        <v>837.71</v>
      </c>
      <c r="S13" s="524">
        <v>-399.22</v>
      </c>
      <c r="T13" s="524">
        <v>-3747.96</v>
      </c>
      <c r="U13" s="524">
        <v>473.76</v>
      </c>
      <c r="V13" s="523">
        <v>283.58999999999997</v>
      </c>
      <c r="W13" s="523">
        <v>4693.82</v>
      </c>
      <c r="X13" s="524"/>
      <c r="Y13" s="524"/>
      <c r="Z13" s="523"/>
      <c r="AA13" s="523"/>
      <c r="AB13" s="523"/>
      <c r="AC13" s="523"/>
      <c r="AD13" s="523"/>
      <c r="AE13" s="523"/>
      <c r="AF13" s="565"/>
      <c r="AG13" s="567">
        <v>10946.119999999999</v>
      </c>
      <c r="AH13" s="533">
        <f t="shared" si="0"/>
        <v>4605316.9200000009</v>
      </c>
    </row>
    <row r="14" spans="1:114" s="510" customFormat="1" ht="15" customHeight="1" x14ac:dyDescent="0.25">
      <c r="A14" s="534">
        <v>5</v>
      </c>
      <c r="B14" s="535">
        <f t="shared" si="1"/>
        <v>45565</v>
      </c>
      <c r="C14" s="551"/>
      <c r="D14" s="549">
        <v>0</v>
      </c>
      <c r="E14" s="549">
        <v>0</v>
      </c>
      <c r="F14" s="551">
        <v>0</v>
      </c>
      <c r="G14" s="523">
        <v>1963756.68</v>
      </c>
      <c r="H14" s="523">
        <v>1885973.33</v>
      </c>
      <c r="I14" s="523">
        <v>837539.66</v>
      </c>
      <c r="J14" s="523">
        <v>99466.4</v>
      </c>
      <c r="K14" s="523">
        <v>34495.26</v>
      </c>
      <c r="L14" s="523">
        <v>28170.9</v>
      </c>
      <c r="M14" s="523">
        <v>8650.74</v>
      </c>
      <c r="N14" s="523">
        <v>32722.77</v>
      </c>
      <c r="O14" s="523">
        <v>16744.96</v>
      </c>
      <c r="P14" s="523">
        <v>5535.68</v>
      </c>
      <c r="Q14" s="523">
        <v>4534.93</v>
      </c>
      <c r="R14" s="523">
        <v>5441.7</v>
      </c>
      <c r="S14" s="524">
        <v>3969.3</v>
      </c>
      <c r="T14" s="524">
        <v>2024.62</v>
      </c>
      <c r="U14" s="524">
        <v>2142.2399999999998</v>
      </c>
      <c r="V14" s="523">
        <v>7147.52</v>
      </c>
      <c r="W14" s="523">
        <v>4121.1400000000003</v>
      </c>
      <c r="X14" s="524"/>
      <c r="Y14" s="524"/>
      <c r="Z14" s="523"/>
      <c r="AA14" s="523"/>
      <c r="AB14" s="523"/>
      <c r="AC14" s="523"/>
      <c r="AD14" s="523"/>
      <c r="AE14" s="523"/>
      <c r="AF14" s="565"/>
      <c r="AG14" s="568">
        <v>-29324.89</v>
      </c>
      <c r="AH14" s="533">
        <f t="shared" si="0"/>
        <v>4913112.9399999995</v>
      </c>
    </row>
    <row r="15" spans="1:114" s="510" customFormat="1" ht="15" customHeight="1" x14ac:dyDescent="0.25">
      <c r="A15" s="534">
        <v>6</v>
      </c>
      <c r="B15" s="535">
        <f t="shared" si="1"/>
        <v>45535</v>
      </c>
      <c r="C15" s="551"/>
      <c r="D15" s="549">
        <v>0</v>
      </c>
      <c r="E15" s="549">
        <v>0</v>
      </c>
      <c r="F15" s="549">
        <v>0</v>
      </c>
      <c r="G15" s="551">
        <v>0</v>
      </c>
      <c r="H15" s="523">
        <v>2279485.7999999998</v>
      </c>
      <c r="I15" s="523">
        <v>2191865.37</v>
      </c>
      <c r="J15" s="523">
        <v>636951.96</v>
      </c>
      <c r="K15" s="523">
        <v>388014.87</v>
      </c>
      <c r="L15" s="523">
        <v>44696.05</v>
      </c>
      <c r="M15" s="523">
        <v>25575.47</v>
      </c>
      <c r="N15" s="523">
        <v>22101.7</v>
      </c>
      <c r="O15" s="523">
        <v>16215.48</v>
      </c>
      <c r="P15" s="523">
        <v>5375.25</v>
      </c>
      <c r="Q15" s="523">
        <v>7609.59</v>
      </c>
      <c r="R15" s="523">
        <v>5661.19</v>
      </c>
      <c r="S15" s="524">
        <v>1567.11</v>
      </c>
      <c r="T15" s="524">
        <v>9.24</v>
      </c>
      <c r="U15" s="524">
        <v>47059</v>
      </c>
      <c r="V15" s="523">
        <v>11642.87</v>
      </c>
      <c r="W15" s="523">
        <v>54.82</v>
      </c>
      <c r="X15" s="524"/>
      <c r="Y15" s="524"/>
      <c r="Z15" s="523"/>
      <c r="AA15" s="523"/>
      <c r="AB15" s="523"/>
      <c r="AC15" s="523"/>
      <c r="AD15" s="523"/>
      <c r="AE15" s="523"/>
      <c r="AF15" s="565"/>
      <c r="AG15" s="568">
        <v>50041.509999999995</v>
      </c>
      <c r="AH15" s="533">
        <f t="shared" si="0"/>
        <v>5733927.2800000012</v>
      </c>
    </row>
    <row r="16" spans="1:114" s="510" customFormat="1" ht="15" customHeight="1" x14ac:dyDescent="0.25">
      <c r="A16" s="534">
        <v>7</v>
      </c>
      <c r="B16" s="535">
        <f t="shared" si="1"/>
        <v>45504</v>
      </c>
      <c r="C16" s="551"/>
      <c r="D16" s="549">
        <v>0</v>
      </c>
      <c r="E16" s="549">
        <v>0</v>
      </c>
      <c r="F16" s="552">
        <v>0</v>
      </c>
      <c r="G16" s="549">
        <v>0</v>
      </c>
      <c r="H16" s="551">
        <v>0</v>
      </c>
      <c r="I16" s="523">
        <v>1673775.99</v>
      </c>
      <c r="J16" s="523">
        <v>1871607.06</v>
      </c>
      <c r="K16" s="523">
        <v>507658.09</v>
      </c>
      <c r="L16" s="523">
        <v>393312.04</v>
      </c>
      <c r="M16" s="523">
        <v>41311.589999999997</v>
      </c>
      <c r="N16" s="523">
        <v>47721.03</v>
      </c>
      <c r="O16" s="523">
        <v>26844.1</v>
      </c>
      <c r="P16" s="523">
        <v>14826.48</v>
      </c>
      <c r="Q16" s="523">
        <v>2906.99</v>
      </c>
      <c r="R16" s="523">
        <v>11270.53</v>
      </c>
      <c r="S16" s="524">
        <v>978.21</v>
      </c>
      <c r="T16" s="524">
        <v>3075.01</v>
      </c>
      <c r="U16" s="524">
        <v>-13556.52</v>
      </c>
      <c r="V16" s="523">
        <v>0</v>
      </c>
      <c r="W16" s="523">
        <v>5155.0200000000004</v>
      </c>
      <c r="X16" s="524"/>
      <c r="Y16" s="524"/>
      <c r="Z16" s="523"/>
      <c r="AA16" s="523"/>
      <c r="AB16" s="523"/>
      <c r="AC16" s="523"/>
      <c r="AD16" s="523"/>
      <c r="AE16" s="523"/>
      <c r="AF16" s="565"/>
      <c r="AG16" s="568">
        <v>-77801.330000000016</v>
      </c>
      <c r="AH16" s="533">
        <f t="shared" si="0"/>
        <v>4509084.29</v>
      </c>
    </row>
    <row r="17" spans="1:34" s="510" customFormat="1" ht="15" customHeight="1" x14ac:dyDescent="0.25">
      <c r="A17" s="534">
        <v>8</v>
      </c>
      <c r="B17" s="535">
        <f t="shared" si="1"/>
        <v>45473</v>
      </c>
      <c r="C17" s="551"/>
      <c r="D17" s="549">
        <v>0</v>
      </c>
      <c r="E17" s="549">
        <v>0</v>
      </c>
      <c r="F17" s="549">
        <v>0</v>
      </c>
      <c r="G17" s="549">
        <v>0</v>
      </c>
      <c r="H17" s="549">
        <v>0</v>
      </c>
      <c r="I17" s="551">
        <v>0</v>
      </c>
      <c r="J17" s="523">
        <v>1880667.29</v>
      </c>
      <c r="K17" s="523">
        <v>1799481.68</v>
      </c>
      <c r="L17" s="523">
        <v>334956.89</v>
      </c>
      <c r="M17" s="523">
        <v>91470.68</v>
      </c>
      <c r="N17" s="523">
        <v>48807.58</v>
      </c>
      <c r="O17" s="523">
        <v>79191.429999999993</v>
      </c>
      <c r="P17" s="523">
        <v>4510.74</v>
      </c>
      <c r="Q17" s="523">
        <v>5849.94</v>
      </c>
      <c r="R17" s="523">
        <v>4521.46</v>
      </c>
      <c r="S17" s="524">
        <v>7536.16</v>
      </c>
      <c r="T17" s="524">
        <v>2288.34</v>
      </c>
      <c r="U17" s="524">
        <v>7339.82</v>
      </c>
      <c r="V17" s="523">
        <v>534.73</v>
      </c>
      <c r="W17" s="523">
        <v>590.36</v>
      </c>
      <c r="X17" s="524"/>
      <c r="Y17" s="524"/>
      <c r="Z17" s="523"/>
      <c r="AA17" s="523"/>
      <c r="AB17" s="523"/>
      <c r="AC17" s="523"/>
      <c r="AD17" s="523"/>
      <c r="AE17" s="523"/>
      <c r="AF17" s="565"/>
      <c r="AG17" s="568">
        <v>41190.380000000019</v>
      </c>
      <c r="AH17" s="533">
        <f t="shared" si="0"/>
        <v>4308937.4800000014</v>
      </c>
    </row>
    <row r="18" spans="1:34" s="510" customFormat="1" ht="15" customHeight="1" x14ac:dyDescent="0.25">
      <c r="A18" s="534">
        <v>9</v>
      </c>
      <c r="B18" s="535">
        <f t="shared" si="1"/>
        <v>45443</v>
      </c>
      <c r="C18" s="551"/>
      <c r="D18" s="549">
        <v>0</v>
      </c>
      <c r="E18" s="549">
        <v>0</v>
      </c>
      <c r="F18" s="549">
        <v>0</v>
      </c>
      <c r="G18" s="549">
        <v>0</v>
      </c>
      <c r="H18" s="549">
        <v>0</v>
      </c>
      <c r="I18" s="549">
        <v>0</v>
      </c>
      <c r="J18" s="551">
        <v>0</v>
      </c>
      <c r="K18" s="523">
        <v>2231798.2400000002</v>
      </c>
      <c r="L18" s="523">
        <v>2245326.7599999998</v>
      </c>
      <c r="M18" s="523">
        <v>448431.68</v>
      </c>
      <c r="N18" s="523">
        <v>69408.3</v>
      </c>
      <c r="O18" s="523">
        <v>24986.66</v>
      </c>
      <c r="P18" s="523">
        <v>30486.37</v>
      </c>
      <c r="Q18" s="523">
        <v>40853.5</v>
      </c>
      <c r="R18" s="523">
        <v>23408.01</v>
      </c>
      <c r="S18" s="524">
        <v>15404.17</v>
      </c>
      <c r="T18" s="524">
        <v>10219.540000000001</v>
      </c>
      <c r="U18" s="524">
        <v>8581.7099999999991</v>
      </c>
      <c r="V18" s="523">
        <v>10439.790000000001</v>
      </c>
      <c r="W18" s="523">
        <v>5092.53</v>
      </c>
      <c r="X18" s="524"/>
      <c r="Y18" s="524"/>
      <c r="Z18" s="523"/>
      <c r="AA18" s="523"/>
      <c r="AB18" s="523"/>
      <c r="AC18" s="523"/>
      <c r="AD18" s="523"/>
      <c r="AE18" s="523"/>
      <c r="AF18" s="565"/>
      <c r="AG18" s="568">
        <v>51206.1</v>
      </c>
      <c r="AH18" s="533">
        <f t="shared" si="0"/>
        <v>5215643.3599999994</v>
      </c>
    </row>
    <row r="19" spans="1:34" s="510" customFormat="1" ht="15" customHeight="1" x14ac:dyDescent="0.25">
      <c r="A19" s="534">
        <v>10</v>
      </c>
      <c r="B19" s="535">
        <f t="shared" si="1"/>
        <v>45412</v>
      </c>
      <c r="C19" s="551"/>
      <c r="D19" s="549">
        <v>0</v>
      </c>
      <c r="E19" s="549">
        <v>0</v>
      </c>
      <c r="F19" s="549">
        <v>0</v>
      </c>
      <c r="G19" s="549">
        <v>0</v>
      </c>
      <c r="H19" s="549">
        <v>0</v>
      </c>
      <c r="I19" s="549">
        <v>0</v>
      </c>
      <c r="J19" s="549">
        <v>0</v>
      </c>
      <c r="K19" s="551">
        <v>0</v>
      </c>
      <c r="L19" s="523">
        <v>1538038.71</v>
      </c>
      <c r="M19" s="523">
        <v>1861297.3</v>
      </c>
      <c r="N19" s="523">
        <v>568274.29</v>
      </c>
      <c r="O19" s="523">
        <v>100837.4</v>
      </c>
      <c r="P19" s="523">
        <v>51910.07</v>
      </c>
      <c r="Q19" s="523">
        <v>34427.96</v>
      </c>
      <c r="R19" s="523">
        <v>22892.18</v>
      </c>
      <c r="S19" s="524">
        <v>3427.05</v>
      </c>
      <c r="T19" s="524">
        <v>9007.93</v>
      </c>
      <c r="U19" s="524">
        <v>12663.82</v>
      </c>
      <c r="V19" s="523">
        <v>16045.83</v>
      </c>
      <c r="W19" s="523">
        <v>17582.55</v>
      </c>
      <c r="X19" s="524"/>
      <c r="Y19" s="524"/>
      <c r="Z19" s="523"/>
      <c r="AA19" s="523"/>
      <c r="AB19" s="523"/>
      <c r="AC19" s="523"/>
      <c r="AD19" s="523"/>
      <c r="AE19" s="523"/>
      <c r="AF19" s="565"/>
      <c r="AG19" s="568">
        <v>39570.120000000003</v>
      </c>
      <c r="AH19" s="533">
        <f t="shared" si="0"/>
        <v>4275975.21</v>
      </c>
    </row>
    <row r="20" spans="1:34" s="510" customFormat="1" ht="15" customHeight="1" x14ac:dyDescent="0.25">
      <c r="A20" s="534">
        <v>11</v>
      </c>
      <c r="B20" s="535">
        <f t="shared" si="1"/>
        <v>45382</v>
      </c>
      <c r="C20" s="551"/>
      <c r="D20" s="549">
        <v>0</v>
      </c>
      <c r="E20" s="549">
        <v>0</v>
      </c>
      <c r="F20" s="549">
        <v>0</v>
      </c>
      <c r="G20" s="549">
        <v>0</v>
      </c>
      <c r="H20" s="549">
        <v>0</v>
      </c>
      <c r="I20" s="549">
        <v>0</v>
      </c>
      <c r="J20" s="549">
        <v>0</v>
      </c>
      <c r="K20" s="549">
        <v>0</v>
      </c>
      <c r="L20" s="551">
        <v>0</v>
      </c>
      <c r="M20" s="523">
        <v>1859557.39</v>
      </c>
      <c r="N20" s="523">
        <v>2128123.9300000002</v>
      </c>
      <c r="O20" s="523">
        <v>552670.81999999995</v>
      </c>
      <c r="P20" s="523">
        <v>116081.98</v>
      </c>
      <c r="Q20" s="523">
        <v>61717.56</v>
      </c>
      <c r="R20" s="523">
        <v>34845.980000000003</v>
      </c>
      <c r="S20" s="524">
        <v>26321.45</v>
      </c>
      <c r="T20" s="524">
        <v>7967.6</v>
      </c>
      <c r="U20" s="524">
        <v>20842.669999999998</v>
      </c>
      <c r="V20" s="523">
        <v>6859.03</v>
      </c>
      <c r="W20" s="523">
        <v>12467.67</v>
      </c>
      <c r="X20" s="524"/>
      <c r="Y20" s="524"/>
      <c r="Z20" s="523"/>
      <c r="AA20" s="523"/>
      <c r="AB20" s="523"/>
      <c r="AC20" s="523"/>
      <c r="AD20" s="523"/>
      <c r="AE20" s="523"/>
      <c r="AF20" s="565"/>
      <c r="AG20" s="568">
        <v>39748.140000000007</v>
      </c>
      <c r="AH20" s="533">
        <f t="shared" si="0"/>
        <v>4867204.2200000007</v>
      </c>
    </row>
    <row r="21" spans="1:34" s="510" customFormat="1" ht="15" customHeight="1" x14ac:dyDescent="0.25">
      <c r="A21" s="534">
        <v>12</v>
      </c>
      <c r="B21" s="535">
        <f t="shared" si="1"/>
        <v>45351</v>
      </c>
      <c r="C21" s="551"/>
      <c r="D21" s="549">
        <v>0</v>
      </c>
      <c r="E21" s="549">
        <v>0</v>
      </c>
      <c r="F21" s="549">
        <v>0</v>
      </c>
      <c r="G21" s="549">
        <v>0</v>
      </c>
      <c r="H21" s="549">
        <v>0</v>
      </c>
      <c r="I21" s="549">
        <v>0</v>
      </c>
      <c r="J21" s="549">
        <v>0</v>
      </c>
      <c r="K21" s="549">
        <v>0</v>
      </c>
      <c r="L21" s="549">
        <v>0</v>
      </c>
      <c r="M21" s="551">
        <v>0</v>
      </c>
      <c r="N21" s="523">
        <v>1303456.1200000001</v>
      </c>
      <c r="O21" s="523">
        <v>2067386.02</v>
      </c>
      <c r="P21" s="523">
        <v>487476.18</v>
      </c>
      <c r="Q21" s="523">
        <v>56228.9</v>
      </c>
      <c r="R21" s="523">
        <v>27279.63</v>
      </c>
      <c r="S21" s="524">
        <v>15046.27</v>
      </c>
      <c r="T21" s="524">
        <v>17428.77</v>
      </c>
      <c r="U21" s="524">
        <v>18078.16</v>
      </c>
      <c r="V21" s="523">
        <v>1271.92</v>
      </c>
      <c r="W21" s="523">
        <v>9764.36</v>
      </c>
      <c r="X21" s="524"/>
      <c r="Y21" s="524"/>
      <c r="Z21" s="523"/>
      <c r="AA21" s="523"/>
      <c r="AB21" s="523"/>
      <c r="AC21" s="523"/>
      <c r="AD21" s="523"/>
      <c r="AE21" s="523"/>
      <c r="AF21" s="565"/>
      <c r="AG21" s="568">
        <v>270912.69999999995</v>
      </c>
      <c r="AH21" s="533">
        <f t="shared" si="0"/>
        <v>4274329.03</v>
      </c>
    </row>
    <row r="22" spans="1:34" s="510" customFormat="1" ht="15" customHeight="1" x14ac:dyDescent="0.25">
      <c r="A22" s="534">
        <v>13</v>
      </c>
      <c r="B22" s="535">
        <f t="shared" si="1"/>
        <v>45322</v>
      </c>
      <c r="C22" s="551"/>
      <c r="D22" s="549">
        <v>0</v>
      </c>
      <c r="E22" s="549">
        <v>0</v>
      </c>
      <c r="F22" s="549">
        <v>0</v>
      </c>
      <c r="G22" s="549">
        <v>0</v>
      </c>
      <c r="H22" s="549">
        <v>0</v>
      </c>
      <c r="I22" s="549">
        <v>0</v>
      </c>
      <c r="J22" s="549">
        <v>0</v>
      </c>
      <c r="K22" s="549">
        <v>0</v>
      </c>
      <c r="L22" s="549">
        <v>0</v>
      </c>
      <c r="M22" s="549">
        <v>0</v>
      </c>
      <c r="N22" s="551">
        <v>0</v>
      </c>
      <c r="O22" s="523">
        <v>1093824.3999999999</v>
      </c>
      <c r="P22" s="523">
        <v>1630568.07</v>
      </c>
      <c r="Q22" s="523">
        <v>563398.17000000004</v>
      </c>
      <c r="R22" s="523">
        <v>159882.15</v>
      </c>
      <c r="S22" s="524">
        <v>19082.669999999998</v>
      </c>
      <c r="T22" s="524">
        <v>7104.77</v>
      </c>
      <c r="U22" s="524">
        <v>1409.29</v>
      </c>
      <c r="V22" s="523">
        <v>7667.24</v>
      </c>
      <c r="W22" s="523">
        <v>9253.01</v>
      </c>
      <c r="X22" s="524"/>
      <c r="Y22" s="524"/>
      <c r="Z22" s="523"/>
      <c r="AA22" s="523"/>
      <c r="AB22" s="523"/>
      <c r="AC22" s="523"/>
      <c r="AD22" s="523"/>
      <c r="AE22" s="523"/>
      <c r="AF22" s="565"/>
      <c r="AG22" s="568">
        <v>39656.979999999996</v>
      </c>
      <c r="AH22" s="533">
        <f t="shared" si="0"/>
        <v>3531846.7499999995</v>
      </c>
    </row>
    <row r="23" spans="1:34" s="510" customFormat="1" ht="15" customHeight="1" x14ac:dyDescent="0.25">
      <c r="A23" s="534">
        <v>14</v>
      </c>
      <c r="B23" s="535">
        <f t="shared" si="1"/>
        <v>45291</v>
      </c>
      <c r="C23" s="551"/>
      <c r="D23" s="549">
        <v>0</v>
      </c>
      <c r="E23" s="549">
        <v>0</v>
      </c>
      <c r="F23" s="549">
        <v>0</v>
      </c>
      <c r="G23" s="549">
        <v>0</v>
      </c>
      <c r="H23" s="549">
        <v>0</v>
      </c>
      <c r="I23" s="549">
        <v>0</v>
      </c>
      <c r="J23" s="549">
        <v>0</v>
      </c>
      <c r="K23" s="549">
        <v>0</v>
      </c>
      <c r="L23" s="549">
        <v>0</v>
      </c>
      <c r="M23" s="549">
        <v>0</v>
      </c>
      <c r="N23" s="549">
        <v>0</v>
      </c>
      <c r="O23" s="551">
        <v>0</v>
      </c>
      <c r="P23" s="523">
        <v>1378123.41</v>
      </c>
      <c r="Q23" s="523">
        <v>2032855.98</v>
      </c>
      <c r="R23" s="523">
        <v>354013</v>
      </c>
      <c r="S23" s="524">
        <v>140912.44</v>
      </c>
      <c r="T23" s="524">
        <v>47393.66</v>
      </c>
      <c r="U23" s="524">
        <v>33545.949999999997</v>
      </c>
      <c r="V23" s="523">
        <v>9622.8700000000008</v>
      </c>
      <c r="W23" s="523">
        <v>2493.04</v>
      </c>
      <c r="X23" s="524"/>
      <c r="Y23" s="524"/>
      <c r="Z23" s="523"/>
      <c r="AA23" s="523"/>
      <c r="AB23" s="523"/>
      <c r="AC23" s="523"/>
      <c r="AD23" s="523"/>
      <c r="AE23" s="523"/>
      <c r="AF23" s="565"/>
      <c r="AG23" s="568">
        <v>81915.56</v>
      </c>
      <c r="AH23" s="533">
        <f t="shared" si="0"/>
        <v>4080875.91</v>
      </c>
    </row>
    <row r="24" spans="1:34" s="510" customFormat="1" ht="15" customHeight="1" x14ac:dyDescent="0.25">
      <c r="A24" s="534">
        <v>15</v>
      </c>
      <c r="B24" s="535">
        <f t="shared" si="1"/>
        <v>45260</v>
      </c>
      <c r="C24" s="551"/>
      <c r="D24" s="549">
        <v>0</v>
      </c>
      <c r="E24" s="549">
        <v>0</v>
      </c>
      <c r="F24" s="549">
        <v>0</v>
      </c>
      <c r="G24" s="549">
        <v>0</v>
      </c>
      <c r="H24" s="549">
        <v>0</v>
      </c>
      <c r="I24" s="549">
        <v>0</v>
      </c>
      <c r="J24" s="549">
        <v>0</v>
      </c>
      <c r="K24" s="549">
        <v>0</v>
      </c>
      <c r="L24" s="549">
        <v>0</v>
      </c>
      <c r="M24" s="549">
        <v>0</v>
      </c>
      <c r="N24" s="549">
        <v>0</v>
      </c>
      <c r="O24" s="551">
        <v>0</v>
      </c>
      <c r="P24" s="551">
        <v>0</v>
      </c>
      <c r="Q24" s="523">
        <v>1331438.57</v>
      </c>
      <c r="R24" s="523">
        <v>2041069.63</v>
      </c>
      <c r="S24" s="524">
        <v>272241.40000000002</v>
      </c>
      <c r="T24" s="524">
        <v>24441.25</v>
      </c>
      <c r="U24" s="524">
        <v>29452.61</v>
      </c>
      <c r="V24" s="523">
        <v>7269.31</v>
      </c>
      <c r="W24" s="523">
        <v>8774.01</v>
      </c>
      <c r="X24" s="524"/>
      <c r="Y24" s="524"/>
      <c r="Z24" s="523"/>
      <c r="AA24" s="523"/>
      <c r="AB24" s="523"/>
      <c r="AC24" s="523"/>
      <c r="AD24" s="523"/>
      <c r="AE24" s="523"/>
      <c r="AF24" s="565"/>
      <c r="AG24" s="568">
        <v>89332.41</v>
      </c>
      <c r="AH24" s="533">
        <f t="shared" si="0"/>
        <v>3804019.19</v>
      </c>
    </row>
    <row r="25" spans="1:34" s="510" customFormat="1" ht="15" customHeight="1" x14ac:dyDescent="0.25">
      <c r="A25" s="534">
        <v>16</v>
      </c>
      <c r="B25" s="535">
        <f t="shared" si="1"/>
        <v>45230</v>
      </c>
      <c r="C25" s="551"/>
      <c r="D25" s="549">
        <v>0</v>
      </c>
      <c r="E25" s="549">
        <v>0</v>
      </c>
      <c r="F25" s="549">
        <v>0</v>
      </c>
      <c r="G25" s="549">
        <v>0</v>
      </c>
      <c r="H25" s="549">
        <v>0</v>
      </c>
      <c r="I25" s="549">
        <v>0</v>
      </c>
      <c r="J25" s="549">
        <v>0</v>
      </c>
      <c r="K25" s="549">
        <v>0</v>
      </c>
      <c r="L25" s="549">
        <v>0</v>
      </c>
      <c r="M25" s="549">
        <v>0</v>
      </c>
      <c r="N25" s="549">
        <v>0</v>
      </c>
      <c r="O25" s="550">
        <v>0</v>
      </c>
      <c r="P25" s="549">
        <v>0</v>
      </c>
      <c r="Q25" s="551">
        <v>0</v>
      </c>
      <c r="R25" s="523">
        <v>1671366.03</v>
      </c>
      <c r="S25" s="524">
        <v>1699835.23</v>
      </c>
      <c r="T25" s="524">
        <v>384927.46</v>
      </c>
      <c r="U25" s="524">
        <v>44723.88</v>
      </c>
      <c r="V25" s="523">
        <v>21506.78</v>
      </c>
      <c r="W25" s="523">
        <v>14025.98</v>
      </c>
      <c r="X25" s="524"/>
      <c r="Y25" s="524"/>
      <c r="Z25" s="523"/>
      <c r="AA25" s="523"/>
      <c r="AB25" s="523"/>
      <c r="AC25" s="523"/>
      <c r="AD25" s="523"/>
      <c r="AE25" s="523"/>
      <c r="AF25" s="565"/>
      <c r="AG25" s="568">
        <v>71381.81</v>
      </c>
      <c r="AH25" s="533">
        <f t="shared" si="0"/>
        <v>3907767.1699999995</v>
      </c>
    </row>
    <row r="26" spans="1:34" s="510" customFormat="1" ht="15" customHeight="1" x14ac:dyDescent="0.25">
      <c r="A26" s="534">
        <v>17</v>
      </c>
      <c r="B26" s="535">
        <f t="shared" si="1"/>
        <v>45199</v>
      </c>
      <c r="C26" s="551"/>
      <c r="D26" s="549">
        <v>0</v>
      </c>
      <c r="E26" s="549">
        <v>0</v>
      </c>
      <c r="F26" s="549">
        <v>0</v>
      </c>
      <c r="G26" s="549">
        <v>0</v>
      </c>
      <c r="H26" s="549">
        <v>0</v>
      </c>
      <c r="I26" s="549">
        <v>0</v>
      </c>
      <c r="J26" s="549">
        <v>0</v>
      </c>
      <c r="K26" s="549">
        <v>0</v>
      </c>
      <c r="L26" s="549">
        <v>0</v>
      </c>
      <c r="M26" s="549">
        <v>0</v>
      </c>
      <c r="N26" s="549">
        <v>0</v>
      </c>
      <c r="O26" s="550">
        <v>0</v>
      </c>
      <c r="P26" s="549">
        <v>0</v>
      </c>
      <c r="Q26" s="549">
        <v>0</v>
      </c>
      <c r="R26" s="551">
        <v>0</v>
      </c>
      <c r="S26" s="524">
        <v>1797662.55</v>
      </c>
      <c r="T26" s="524">
        <v>2431004.7400000002</v>
      </c>
      <c r="U26" s="524">
        <v>517374.88</v>
      </c>
      <c r="V26" s="523">
        <v>52509.3</v>
      </c>
      <c r="W26" s="523">
        <v>18191.78</v>
      </c>
      <c r="X26" s="524"/>
      <c r="Y26" s="524"/>
      <c r="Z26" s="523"/>
      <c r="AA26" s="523"/>
      <c r="AB26" s="523"/>
      <c r="AC26" s="523"/>
      <c r="AD26" s="523"/>
      <c r="AE26" s="523"/>
      <c r="AF26" s="573"/>
      <c r="AG26" s="568">
        <v>195864.53000000003</v>
      </c>
      <c r="AH26" s="533">
        <f t="shared" si="0"/>
        <v>5012607.78</v>
      </c>
    </row>
    <row r="27" spans="1:34" s="510" customFormat="1" ht="15" customHeight="1" x14ac:dyDescent="0.25">
      <c r="A27" s="534">
        <v>18</v>
      </c>
      <c r="B27" s="535">
        <f t="shared" si="1"/>
        <v>45169</v>
      </c>
      <c r="C27" s="551"/>
      <c r="D27" s="549">
        <v>0</v>
      </c>
      <c r="E27" s="549">
        <v>0</v>
      </c>
      <c r="F27" s="549">
        <v>0</v>
      </c>
      <c r="G27" s="549">
        <v>0</v>
      </c>
      <c r="H27" s="549">
        <v>0</v>
      </c>
      <c r="I27" s="549">
        <v>0</v>
      </c>
      <c r="J27" s="549">
        <v>0</v>
      </c>
      <c r="K27" s="549">
        <v>0</v>
      </c>
      <c r="L27" s="549">
        <v>0</v>
      </c>
      <c r="M27" s="549">
        <v>0</v>
      </c>
      <c r="N27" s="549">
        <v>0</v>
      </c>
      <c r="O27" s="550">
        <v>0</v>
      </c>
      <c r="P27" s="549">
        <v>0</v>
      </c>
      <c r="Q27" s="550">
        <v>0</v>
      </c>
      <c r="R27" s="549">
        <v>0</v>
      </c>
      <c r="S27" s="551">
        <v>0</v>
      </c>
      <c r="T27" s="524">
        <v>1362881</v>
      </c>
      <c r="U27" s="524">
        <v>1486784.85</v>
      </c>
      <c r="V27" s="523">
        <v>479754.18</v>
      </c>
      <c r="W27" s="523">
        <v>48571.86</v>
      </c>
      <c r="X27" s="524"/>
      <c r="Y27" s="524"/>
      <c r="Z27" s="523"/>
      <c r="AA27" s="523"/>
      <c r="AB27" s="523"/>
      <c r="AC27" s="523"/>
      <c r="AD27" s="523"/>
      <c r="AE27" s="523"/>
      <c r="AF27" s="565"/>
      <c r="AG27" s="574">
        <v>130387.90999999997</v>
      </c>
      <c r="AH27" s="533">
        <f t="shared" si="0"/>
        <v>3508379.8000000003</v>
      </c>
    </row>
    <row r="28" spans="1:34" s="510" customFormat="1" ht="15" customHeight="1" x14ac:dyDescent="0.25">
      <c r="A28" s="534">
        <v>19</v>
      </c>
      <c r="B28" s="535">
        <f t="shared" si="1"/>
        <v>45138</v>
      </c>
      <c r="C28" s="551"/>
      <c r="D28" s="549">
        <v>0</v>
      </c>
      <c r="E28" s="549">
        <v>0</v>
      </c>
      <c r="F28" s="549">
        <v>0</v>
      </c>
      <c r="G28" s="549">
        <v>0</v>
      </c>
      <c r="H28" s="549">
        <v>0</v>
      </c>
      <c r="I28" s="549">
        <v>0</v>
      </c>
      <c r="J28" s="549">
        <v>0</v>
      </c>
      <c r="K28" s="549">
        <v>0</v>
      </c>
      <c r="L28" s="549">
        <v>0</v>
      </c>
      <c r="M28" s="549">
        <v>0</v>
      </c>
      <c r="N28" s="549">
        <v>0</v>
      </c>
      <c r="O28" s="550">
        <v>0</v>
      </c>
      <c r="P28" s="549">
        <v>0</v>
      </c>
      <c r="Q28" s="550">
        <v>0</v>
      </c>
      <c r="R28" s="549">
        <v>0</v>
      </c>
      <c r="S28" s="549">
        <v>0</v>
      </c>
      <c r="T28" s="551">
        <v>0</v>
      </c>
      <c r="U28" s="524">
        <v>1547023.31</v>
      </c>
      <c r="V28" s="523">
        <v>2236786.2000000002</v>
      </c>
      <c r="W28" s="523">
        <v>536749.12</v>
      </c>
      <c r="X28" s="524"/>
      <c r="Y28" s="524"/>
      <c r="Z28" s="523"/>
      <c r="AA28" s="523"/>
      <c r="AB28" s="523"/>
      <c r="AC28" s="523"/>
      <c r="AD28" s="523"/>
      <c r="AE28" s="523"/>
      <c r="AF28" s="565"/>
      <c r="AG28" s="569">
        <v>248022.05000000005</v>
      </c>
      <c r="AH28" s="533">
        <f t="shared" si="0"/>
        <v>4568580.68</v>
      </c>
    </row>
    <row r="29" spans="1:34" s="510" customFormat="1" ht="15" customHeight="1" x14ac:dyDescent="0.25">
      <c r="A29" s="534">
        <v>20</v>
      </c>
      <c r="B29" s="535">
        <f t="shared" si="1"/>
        <v>45107</v>
      </c>
      <c r="C29" s="551"/>
      <c r="D29" s="549">
        <v>0</v>
      </c>
      <c r="E29" s="549">
        <v>0</v>
      </c>
      <c r="F29" s="549">
        <v>0</v>
      </c>
      <c r="G29" s="549">
        <v>0</v>
      </c>
      <c r="H29" s="549">
        <v>0</v>
      </c>
      <c r="I29" s="549">
        <v>0</v>
      </c>
      <c r="J29" s="549">
        <v>0</v>
      </c>
      <c r="K29" s="549">
        <v>0</v>
      </c>
      <c r="L29" s="549">
        <v>0</v>
      </c>
      <c r="M29" s="549">
        <v>0</v>
      </c>
      <c r="N29" s="549">
        <v>0</v>
      </c>
      <c r="O29" s="550">
        <v>0</v>
      </c>
      <c r="P29" s="549">
        <v>0</v>
      </c>
      <c r="Q29" s="550">
        <v>0</v>
      </c>
      <c r="R29" s="549">
        <v>0</v>
      </c>
      <c r="S29" s="550">
        <v>0</v>
      </c>
      <c r="T29" s="549">
        <v>0</v>
      </c>
      <c r="U29" s="551">
        <v>0</v>
      </c>
      <c r="V29" s="523">
        <v>1059059.1200000001</v>
      </c>
      <c r="W29" s="523">
        <v>1916274.92</v>
      </c>
      <c r="X29" s="524"/>
      <c r="Y29" s="524"/>
      <c r="Z29" s="523"/>
      <c r="AA29" s="523"/>
      <c r="AB29" s="523"/>
      <c r="AC29" s="523"/>
      <c r="AD29" s="523"/>
      <c r="AE29" s="523"/>
      <c r="AF29" s="565"/>
      <c r="AG29" s="568">
        <v>580278.59999999974</v>
      </c>
      <c r="AH29" s="533">
        <f t="shared" si="0"/>
        <v>3555612.6399999997</v>
      </c>
    </row>
    <row r="30" spans="1:34" s="510" customFormat="1" ht="15" customHeight="1" x14ac:dyDescent="0.25">
      <c r="A30" s="534">
        <v>21</v>
      </c>
      <c r="B30" s="535">
        <f t="shared" si="1"/>
        <v>45077</v>
      </c>
      <c r="C30" s="551"/>
      <c r="D30" s="549">
        <v>0</v>
      </c>
      <c r="E30" s="549">
        <v>0</v>
      </c>
      <c r="F30" s="549">
        <v>0</v>
      </c>
      <c r="G30" s="549">
        <v>0</v>
      </c>
      <c r="H30" s="549">
        <v>0</v>
      </c>
      <c r="I30" s="549">
        <v>0</v>
      </c>
      <c r="J30" s="549">
        <v>0</v>
      </c>
      <c r="K30" s="549">
        <v>0</v>
      </c>
      <c r="L30" s="549">
        <v>0</v>
      </c>
      <c r="M30" s="549">
        <v>0</v>
      </c>
      <c r="N30" s="549">
        <v>0</v>
      </c>
      <c r="O30" s="550">
        <v>0</v>
      </c>
      <c r="P30" s="549">
        <v>0</v>
      </c>
      <c r="Q30" s="550">
        <v>0</v>
      </c>
      <c r="R30" s="549">
        <v>0</v>
      </c>
      <c r="S30" s="550">
        <v>0</v>
      </c>
      <c r="T30" s="550">
        <v>0</v>
      </c>
      <c r="U30" s="550">
        <v>0</v>
      </c>
      <c r="V30" s="549">
        <v>0</v>
      </c>
      <c r="W30" s="523">
        <v>1526142.53</v>
      </c>
      <c r="X30" s="524"/>
      <c r="Y30" s="524"/>
      <c r="Z30" s="523"/>
      <c r="AA30" s="523"/>
      <c r="AB30" s="523"/>
      <c r="AC30" s="523"/>
      <c r="AD30" s="523"/>
      <c r="AE30" s="523"/>
      <c r="AF30" s="565"/>
      <c r="AG30" s="568">
        <v>2500298.3200000003</v>
      </c>
      <c r="AH30" s="533">
        <f t="shared" si="0"/>
        <v>4026440.8500000006</v>
      </c>
    </row>
    <row r="31" spans="1:34" s="510" customFormat="1" ht="15" customHeight="1" x14ac:dyDescent="0.25">
      <c r="A31" s="534">
        <v>22</v>
      </c>
      <c r="B31" s="535">
        <f t="shared" si="1"/>
        <v>45046</v>
      </c>
      <c r="C31" s="551"/>
      <c r="D31" s="549">
        <v>0</v>
      </c>
      <c r="E31" s="549">
        <v>0</v>
      </c>
      <c r="F31" s="549">
        <v>0</v>
      </c>
      <c r="G31" s="549">
        <v>0</v>
      </c>
      <c r="H31" s="549">
        <v>0</v>
      </c>
      <c r="I31" s="549">
        <v>0</v>
      </c>
      <c r="J31" s="549">
        <v>0</v>
      </c>
      <c r="K31" s="549">
        <v>0</v>
      </c>
      <c r="L31" s="549">
        <v>0</v>
      </c>
      <c r="M31" s="549">
        <v>0</v>
      </c>
      <c r="N31" s="549">
        <v>0</v>
      </c>
      <c r="O31" s="550">
        <v>0</v>
      </c>
      <c r="P31" s="549">
        <v>0</v>
      </c>
      <c r="Q31" s="550">
        <v>0</v>
      </c>
      <c r="R31" s="549">
        <v>0</v>
      </c>
      <c r="S31" s="550">
        <v>0</v>
      </c>
      <c r="T31" s="550">
        <v>0</v>
      </c>
      <c r="U31" s="550">
        <v>0</v>
      </c>
      <c r="V31" s="549">
        <v>0</v>
      </c>
      <c r="W31" s="549">
        <v>0</v>
      </c>
      <c r="X31" s="524"/>
      <c r="Y31" s="524"/>
      <c r="Z31" s="523"/>
      <c r="AA31" s="523"/>
      <c r="AB31" s="523"/>
      <c r="AC31" s="523"/>
      <c r="AD31" s="523"/>
      <c r="AE31" s="523"/>
      <c r="AF31" s="565"/>
      <c r="AG31" s="568"/>
      <c r="AH31" s="533">
        <f t="shared" si="0"/>
        <v>0</v>
      </c>
    </row>
    <row r="32" spans="1:34" s="510" customFormat="1" ht="15" customHeight="1" x14ac:dyDescent="0.25">
      <c r="A32" s="534">
        <v>23</v>
      </c>
      <c r="B32" s="535">
        <f t="shared" si="1"/>
        <v>45016</v>
      </c>
      <c r="C32" s="551"/>
      <c r="D32" s="549">
        <v>0</v>
      </c>
      <c r="E32" s="549">
        <v>0</v>
      </c>
      <c r="F32" s="549">
        <v>0</v>
      </c>
      <c r="G32" s="549">
        <v>0</v>
      </c>
      <c r="H32" s="549">
        <v>0</v>
      </c>
      <c r="I32" s="549">
        <v>0</v>
      </c>
      <c r="J32" s="549">
        <v>0</v>
      </c>
      <c r="K32" s="549">
        <v>0</v>
      </c>
      <c r="L32" s="549">
        <v>0</v>
      </c>
      <c r="M32" s="549">
        <v>0</v>
      </c>
      <c r="N32" s="549">
        <v>0</v>
      </c>
      <c r="O32" s="550">
        <v>0</v>
      </c>
      <c r="P32" s="549">
        <v>0</v>
      </c>
      <c r="Q32" s="550">
        <v>0</v>
      </c>
      <c r="R32" s="549">
        <v>0</v>
      </c>
      <c r="S32" s="550">
        <v>0</v>
      </c>
      <c r="T32" s="550">
        <v>0</v>
      </c>
      <c r="U32" s="550">
        <v>0</v>
      </c>
      <c r="V32" s="549">
        <v>0</v>
      </c>
      <c r="W32" s="550">
        <v>0</v>
      </c>
      <c r="X32" s="549"/>
      <c r="Y32" s="524"/>
      <c r="Z32" s="523"/>
      <c r="AA32" s="523"/>
      <c r="AB32" s="523"/>
      <c r="AC32" s="523"/>
      <c r="AD32" s="523"/>
      <c r="AE32" s="523"/>
      <c r="AF32" s="565"/>
      <c r="AG32" s="568"/>
      <c r="AH32" s="533">
        <f t="shared" si="0"/>
        <v>0</v>
      </c>
    </row>
    <row r="33" spans="1:79" s="510" customFormat="1" ht="15" customHeight="1" x14ac:dyDescent="0.25">
      <c r="A33" s="534">
        <v>24</v>
      </c>
      <c r="B33" s="535">
        <f t="shared" si="1"/>
        <v>44985</v>
      </c>
      <c r="C33" s="551"/>
      <c r="D33" s="549">
        <v>0</v>
      </c>
      <c r="E33" s="549">
        <v>0</v>
      </c>
      <c r="F33" s="549">
        <v>0</v>
      </c>
      <c r="G33" s="549">
        <v>0</v>
      </c>
      <c r="H33" s="549">
        <v>0</v>
      </c>
      <c r="I33" s="549">
        <v>0</v>
      </c>
      <c r="J33" s="549">
        <v>0</v>
      </c>
      <c r="K33" s="549">
        <v>0</v>
      </c>
      <c r="L33" s="549">
        <v>0</v>
      </c>
      <c r="M33" s="549">
        <v>0</v>
      </c>
      <c r="N33" s="549">
        <v>0</v>
      </c>
      <c r="O33" s="550">
        <v>0</v>
      </c>
      <c r="P33" s="549">
        <v>0</v>
      </c>
      <c r="Q33" s="550">
        <v>0</v>
      </c>
      <c r="R33" s="549">
        <v>0</v>
      </c>
      <c r="S33" s="550">
        <v>0</v>
      </c>
      <c r="T33" s="550">
        <v>0</v>
      </c>
      <c r="U33" s="550">
        <v>0</v>
      </c>
      <c r="V33" s="549">
        <v>0</v>
      </c>
      <c r="W33" s="550">
        <v>0</v>
      </c>
      <c r="X33" s="550"/>
      <c r="Y33" s="549"/>
      <c r="Z33" s="523"/>
      <c r="AA33" s="523"/>
      <c r="AB33" s="523"/>
      <c r="AC33" s="523"/>
      <c r="AD33" s="523"/>
      <c r="AE33" s="523"/>
      <c r="AF33" s="565"/>
      <c r="AG33" s="568">
        <v>0</v>
      </c>
      <c r="AH33" s="533">
        <f t="shared" si="0"/>
        <v>0</v>
      </c>
    </row>
    <row r="34" spans="1:79" s="510" customFormat="1" ht="15" customHeight="1" x14ac:dyDescent="0.25">
      <c r="A34" s="534">
        <v>25</v>
      </c>
      <c r="B34" s="535">
        <f t="shared" si="1"/>
        <v>44957</v>
      </c>
      <c r="C34" s="551"/>
      <c r="D34" s="549">
        <v>0</v>
      </c>
      <c r="E34" s="549">
        <v>0</v>
      </c>
      <c r="F34" s="549">
        <v>0</v>
      </c>
      <c r="G34" s="549">
        <v>0</v>
      </c>
      <c r="H34" s="549">
        <v>0</v>
      </c>
      <c r="I34" s="549">
        <v>0</v>
      </c>
      <c r="J34" s="549">
        <v>0</v>
      </c>
      <c r="K34" s="549">
        <v>0</v>
      </c>
      <c r="L34" s="549">
        <v>0</v>
      </c>
      <c r="M34" s="549">
        <v>0</v>
      </c>
      <c r="N34" s="549">
        <v>0</v>
      </c>
      <c r="O34" s="550">
        <v>0</v>
      </c>
      <c r="P34" s="549">
        <v>0</v>
      </c>
      <c r="Q34" s="550">
        <v>0</v>
      </c>
      <c r="R34" s="549">
        <v>0</v>
      </c>
      <c r="S34" s="550">
        <v>0</v>
      </c>
      <c r="T34" s="550">
        <v>0</v>
      </c>
      <c r="U34" s="550">
        <v>0</v>
      </c>
      <c r="V34" s="549">
        <v>0</v>
      </c>
      <c r="W34" s="550">
        <v>0</v>
      </c>
      <c r="X34" s="550"/>
      <c r="Y34" s="550"/>
      <c r="Z34" s="549"/>
      <c r="AA34" s="523"/>
      <c r="AB34" s="523"/>
      <c r="AC34" s="523"/>
      <c r="AD34" s="523"/>
      <c r="AE34" s="523"/>
      <c r="AF34" s="565"/>
      <c r="AG34" s="568">
        <v>0</v>
      </c>
      <c r="AH34" s="533">
        <f t="shared" si="0"/>
        <v>0</v>
      </c>
    </row>
    <row r="35" spans="1:79" s="510" customFormat="1" ht="15" customHeight="1" x14ac:dyDescent="0.25">
      <c r="A35" s="534">
        <v>26</v>
      </c>
      <c r="B35" s="535">
        <f t="shared" si="1"/>
        <v>44926</v>
      </c>
      <c r="C35" s="551"/>
      <c r="D35" s="549">
        <v>0</v>
      </c>
      <c r="E35" s="549">
        <v>0</v>
      </c>
      <c r="F35" s="549">
        <v>0</v>
      </c>
      <c r="G35" s="549">
        <v>0</v>
      </c>
      <c r="H35" s="549">
        <v>0</v>
      </c>
      <c r="I35" s="549">
        <v>0</v>
      </c>
      <c r="J35" s="549">
        <v>0</v>
      </c>
      <c r="K35" s="549">
        <v>0</v>
      </c>
      <c r="L35" s="549">
        <v>0</v>
      </c>
      <c r="M35" s="549">
        <v>0</v>
      </c>
      <c r="N35" s="549">
        <v>0</v>
      </c>
      <c r="O35" s="550">
        <v>0</v>
      </c>
      <c r="P35" s="549">
        <v>0</v>
      </c>
      <c r="Q35" s="550">
        <v>0</v>
      </c>
      <c r="R35" s="549">
        <v>0</v>
      </c>
      <c r="S35" s="550">
        <v>0</v>
      </c>
      <c r="T35" s="550">
        <v>0</v>
      </c>
      <c r="U35" s="550">
        <v>0</v>
      </c>
      <c r="V35" s="549">
        <v>0</v>
      </c>
      <c r="W35" s="550">
        <v>0</v>
      </c>
      <c r="X35" s="550"/>
      <c r="Y35" s="550"/>
      <c r="Z35" s="549"/>
      <c r="AA35" s="549"/>
      <c r="AB35" s="523"/>
      <c r="AC35" s="523"/>
      <c r="AD35" s="523"/>
      <c r="AE35" s="523"/>
      <c r="AF35" s="565"/>
      <c r="AG35" s="568">
        <v>0</v>
      </c>
      <c r="AH35" s="533">
        <f t="shared" si="0"/>
        <v>0</v>
      </c>
    </row>
    <row r="36" spans="1:79" s="510" customFormat="1" ht="15" customHeight="1" x14ac:dyDescent="0.25">
      <c r="A36" s="534">
        <v>27</v>
      </c>
      <c r="B36" s="535">
        <f t="shared" si="1"/>
        <v>44895</v>
      </c>
      <c r="C36" s="551"/>
      <c r="D36" s="549">
        <v>0</v>
      </c>
      <c r="E36" s="549">
        <v>0</v>
      </c>
      <c r="F36" s="549">
        <v>0</v>
      </c>
      <c r="G36" s="549">
        <v>0</v>
      </c>
      <c r="H36" s="549">
        <v>0</v>
      </c>
      <c r="I36" s="549">
        <v>0</v>
      </c>
      <c r="J36" s="549">
        <v>0</v>
      </c>
      <c r="K36" s="549">
        <v>0</v>
      </c>
      <c r="L36" s="549">
        <v>0</v>
      </c>
      <c r="M36" s="549">
        <v>0</v>
      </c>
      <c r="N36" s="549">
        <v>0</v>
      </c>
      <c r="O36" s="550">
        <v>0</v>
      </c>
      <c r="P36" s="549">
        <v>0</v>
      </c>
      <c r="Q36" s="550">
        <v>0</v>
      </c>
      <c r="R36" s="549">
        <v>0</v>
      </c>
      <c r="S36" s="550">
        <v>0</v>
      </c>
      <c r="T36" s="550">
        <v>0</v>
      </c>
      <c r="U36" s="550">
        <v>0</v>
      </c>
      <c r="V36" s="549">
        <v>0</v>
      </c>
      <c r="W36" s="550">
        <v>0</v>
      </c>
      <c r="X36" s="550"/>
      <c r="Y36" s="550"/>
      <c r="Z36" s="549"/>
      <c r="AA36" s="550"/>
      <c r="AB36" s="549"/>
      <c r="AC36" s="523"/>
      <c r="AD36" s="523"/>
      <c r="AE36" s="523"/>
      <c r="AF36" s="565"/>
      <c r="AG36" s="568">
        <v>0</v>
      </c>
      <c r="AH36" s="533">
        <f t="shared" si="0"/>
        <v>0</v>
      </c>
    </row>
    <row r="37" spans="1:79" s="510" customFormat="1" ht="15" customHeight="1" x14ac:dyDescent="0.25">
      <c r="A37" s="534">
        <v>28</v>
      </c>
      <c r="B37" s="535">
        <f t="shared" si="1"/>
        <v>44865</v>
      </c>
      <c r="C37" s="551"/>
      <c r="D37" s="549"/>
      <c r="E37" s="549"/>
      <c r="F37" s="549"/>
      <c r="G37" s="549"/>
      <c r="H37" s="549"/>
      <c r="I37" s="549"/>
      <c r="J37" s="549"/>
      <c r="K37" s="549"/>
      <c r="L37" s="549"/>
      <c r="M37" s="549"/>
      <c r="N37" s="549"/>
      <c r="O37" s="550"/>
      <c r="P37" s="549"/>
      <c r="Q37" s="550"/>
      <c r="R37" s="549"/>
      <c r="S37" s="550"/>
      <c r="T37" s="550"/>
      <c r="U37" s="550"/>
      <c r="V37" s="549"/>
      <c r="W37" s="550"/>
      <c r="X37" s="550"/>
      <c r="Y37" s="550"/>
      <c r="Z37" s="549"/>
      <c r="AA37" s="550"/>
      <c r="AB37" s="549"/>
      <c r="AC37" s="549"/>
      <c r="AD37" s="523"/>
      <c r="AE37" s="523"/>
      <c r="AF37" s="565"/>
      <c r="AG37" s="568"/>
      <c r="AH37" s="533">
        <f t="shared" si="0"/>
        <v>0</v>
      </c>
    </row>
    <row r="38" spans="1:79" s="510" customFormat="1" ht="15" customHeight="1" x14ac:dyDescent="0.25">
      <c r="A38" s="534">
        <v>29</v>
      </c>
      <c r="B38" s="535">
        <f t="shared" si="1"/>
        <v>44834</v>
      </c>
      <c r="C38" s="551"/>
      <c r="D38" s="549"/>
      <c r="E38" s="549"/>
      <c r="F38" s="549"/>
      <c r="G38" s="549"/>
      <c r="H38" s="549"/>
      <c r="I38" s="549"/>
      <c r="J38" s="549"/>
      <c r="K38" s="549"/>
      <c r="L38" s="549"/>
      <c r="M38" s="549"/>
      <c r="N38" s="549"/>
      <c r="O38" s="550"/>
      <c r="P38" s="549"/>
      <c r="Q38" s="550"/>
      <c r="R38" s="549"/>
      <c r="S38" s="550"/>
      <c r="T38" s="550"/>
      <c r="U38" s="550"/>
      <c r="V38" s="549"/>
      <c r="W38" s="550"/>
      <c r="X38" s="550"/>
      <c r="Y38" s="550"/>
      <c r="Z38" s="549"/>
      <c r="AA38" s="550"/>
      <c r="AB38" s="549"/>
      <c r="AC38" s="549"/>
      <c r="AD38" s="549"/>
      <c r="AE38" s="523"/>
      <c r="AF38" s="565"/>
      <c r="AG38" s="568"/>
      <c r="AH38" s="533">
        <f t="shared" si="0"/>
        <v>0</v>
      </c>
    </row>
    <row r="39" spans="1:79" s="510" customFormat="1" ht="15" customHeight="1" x14ac:dyDescent="0.25">
      <c r="A39" s="534">
        <v>30</v>
      </c>
      <c r="B39" s="535">
        <f t="shared" si="1"/>
        <v>44804</v>
      </c>
      <c r="C39" s="551"/>
      <c r="D39" s="549"/>
      <c r="E39" s="549"/>
      <c r="F39" s="549"/>
      <c r="G39" s="549"/>
      <c r="H39" s="549"/>
      <c r="I39" s="549"/>
      <c r="J39" s="549"/>
      <c r="K39" s="549"/>
      <c r="L39" s="549"/>
      <c r="M39" s="549"/>
      <c r="N39" s="549"/>
      <c r="O39" s="550"/>
      <c r="P39" s="549"/>
      <c r="Q39" s="550"/>
      <c r="R39" s="549"/>
      <c r="S39" s="550"/>
      <c r="T39" s="550"/>
      <c r="U39" s="550"/>
      <c r="V39" s="549"/>
      <c r="W39" s="550"/>
      <c r="X39" s="550"/>
      <c r="Y39" s="550"/>
      <c r="Z39" s="549"/>
      <c r="AA39" s="550"/>
      <c r="AB39" s="549"/>
      <c r="AC39" s="549"/>
      <c r="AD39" s="549"/>
      <c r="AE39" s="549"/>
      <c r="AF39" s="565"/>
      <c r="AG39" s="568"/>
      <c r="AH39" s="533">
        <f>SUM(C39:AG39)</f>
        <v>0</v>
      </c>
    </row>
    <row r="40" spans="1:79" s="510" customFormat="1" ht="31.35" customHeight="1" thickBot="1" x14ac:dyDescent="0.3">
      <c r="A40" s="534">
        <v>31</v>
      </c>
      <c r="B40" s="535" t="s">
        <v>528</v>
      </c>
      <c r="C40" s="577"/>
      <c r="D40" s="551"/>
      <c r="E40" s="549"/>
      <c r="F40" s="549"/>
      <c r="G40" s="549"/>
      <c r="H40" s="549"/>
      <c r="I40" s="549"/>
      <c r="J40" s="549"/>
      <c r="K40" s="549"/>
      <c r="L40" s="549"/>
      <c r="M40" s="549"/>
      <c r="N40" s="549"/>
      <c r="O40" s="549"/>
      <c r="P40" s="550"/>
      <c r="Q40" s="549"/>
      <c r="R40" s="550"/>
      <c r="S40" s="549"/>
      <c r="T40" s="550"/>
      <c r="U40" s="550"/>
      <c r="V40" s="550"/>
      <c r="W40" s="549"/>
      <c r="X40" s="550"/>
      <c r="Y40" s="550"/>
      <c r="Z40" s="550"/>
      <c r="AA40" s="549"/>
      <c r="AB40" s="550"/>
      <c r="AC40" s="549"/>
      <c r="AD40" s="549"/>
      <c r="AE40" s="549"/>
      <c r="AF40" s="587"/>
      <c r="AG40" s="567">
        <v>158560360.85000005</v>
      </c>
      <c r="AH40" s="533">
        <f>SUM(C40:AG40)</f>
        <v>158560360.85000005</v>
      </c>
    </row>
    <row r="41" spans="1:79" s="510" customFormat="1" ht="40.35" customHeight="1" x14ac:dyDescent="0.25">
      <c r="A41" s="536">
        <v>32</v>
      </c>
      <c r="B41" s="537" t="s">
        <v>1307</v>
      </c>
      <c r="C41" s="555">
        <f>SUM(C10:C40)</f>
        <v>0</v>
      </c>
      <c r="D41" s="555">
        <f>SUM(D10:D40)</f>
        <v>4524068.49</v>
      </c>
      <c r="E41" s="555">
        <f t="shared" ref="E41:AC41" si="2">SUM(E10:E40)</f>
        <v>4510428.6399999997</v>
      </c>
      <c r="F41" s="555">
        <f t="shared" si="2"/>
        <v>5411762.9500000002</v>
      </c>
      <c r="G41" s="555">
        <f t="shared" si="2"/>
        <v>4774163.21</v>
      </c>
      <c r="H41" s="555">
        <f t="shared" si="2"/>
        <v>4961937.2699999996</v>
      </c>
      <c r="I41" s="555">
        <f t="shared" si="2"/>
        <v>4930806.0200000005</v>
      </c>
      <c r="J41" s="555">
        <f t="shared" si="2"/>
        <v>4613574.07</v>
      </c>
      <c r="K41" s="555">
        <f t="shared" si="2"/>
        <v>5048531.03</v>
      </c>
      <c r="L41" s="555">
        <f t="shared" si="2"/>
        <v>4738162.96</v>
      </c>
      <c r="M41" s="555">
        <f t="shared" si="2"/>
        <v>4366828.3899999997</v>
      </c>
      <c r="N41" s="555">
        <f t="shared" si="2"/>
        <v>4238185.59</v>
      </c>
      <c r="O41" s="555">
        <f t="shared" si="2"/>
        <v>4001231.27</v>
      </c>
      <c r="P41" s="555">
        <f t="shared" si="2"/>
        <v>3735415.33</v>
      </c>
      <c r="Q41" s="555">
        <f t="shared" si="2"/>
        <v>4143374.91</v>
      </c>
      <c r="R41" s="555">
        <f t="shared" si="2"/>
        <v>4364393.54</v>
      </c>
      <c r="S41" s="555">
        <f t="shared" si="2"/>
        <v>4015756.84</v>
      </c>
      <c r="T41" s="555">
        <f t="shared" si="2"/>
        <v>4308973.2300000004</v>
      </c>
      <c r="U41" s="555">
        <f t="shared" si="2"/>
        <v>3774992.93</v>
      </c>
      <c r="V41" s="555">
        <f t="shared" si="2"/>
        <v>3927179.18</v>
      </c>
      <c r="W41" s="555">
        <f t="shared" si="2"/>
        <v>4144623.6100000003</v>
      </c>
      <c r="X41" s="555">
        <f t="shared" si="2"/>
        <v>0</v>
      </c>
      <c r="Y41" s="555">
        <f t="shared" si="2"/>
        <v>0</v>
      </c>
      <c r="Z41" s="555">
        <f t="shared" si="2"/>
        <v>0</v>
      </c>
      <c r="AA41" s="555">
        <f t="shared" si="2"/>
        <v>0</v>
      </c>
      <c r="AB41" s="555">
        <f t="shared" si="2"/>
        <v>0</v>
      </c>
      <c r="AC41" s="555">
        <f t="shared" si="2"/>
        <v>0</v>
      </c>
      <c r="AD41" s="555">
        <f>SUM(AD10:AD40)</f>
        <v>0</v>
      </c>
      <c r="AE41" s="555">
        <f>SUM(AE10:AE40)</f>
        <v>0</v>
      </c>
      <c r="AF41" s="555">
        <f>SUM(AF10:AF40)</f>
        <v>0</v>
      </c>
      <c r="AG41" s="579">
        <f>SUM(AG10:AG40)</f>
        <v>162849646.08000004</v>
      </c>
      <c r="AH41" s="556">
        <f>SUM(AH10:AH40)</f>
        <v>251384035.54000008</v>
      </c>
    </row>
    <row r="42" spans="1:79" s="510" customFormat="1" ht="40.35" customHeight="1" x14ac:dyDescent="0.25">
      <c r="A42" s="538">
        <v>33</v>
      </c>
      <c r="B42" s="539" t="s">
        <v>1441</v>
      </c>
      <c r="C42" s="525"/>
      <c r="D42" s="523"/>
      <c r="E42" s="523"/>
      <c r="F42" s="523"/>
      <c r="G42" s="526"/>
      <c r="H42" s="523"/>
      <c r="I42" s="523"/>
      <c r="J42" s="523"/>
      <c r="K42" s="523"/>
      <c r="L42" s="523"/>
      <c r="M42" s="523"/>
      <c r="N42" s="523"/>
      <c r="O42" s="524"/>
      <c r="P42" s="523"/>
      <c r="Q42" s="524"/>
      <c r="R42" s="523"/>
      <c r="S42" s="524"/>
      <c r="T42" s="524"/>
      <c r="U42" s="524"/>
      <c r="V42" s="523"/>
      <c r="W42" s="524"/>
      <c r="X42" s="524"/>
      <c r="Y42" s="524"/>
      <c r="Z42" s="523"/>
      <c r="AA42" s="524"/>
      <c r="AB42" s="523"/>
      <c r="AC42" s="524"/>
      <c r="AD42" s="524"/>
      <c r="AE42" s="523"/>
      <c r="AF42" s="589"/>
      <c r="AG42" s="526"/>
      <c r="AH42" s="533">
        <f>SUM(C42:AG42)</f>
        <v>0</v>
      </c>
    </row>
    <row r="43" spans="1:79" s="510" customFormat="1" ht="40.35" customHeight="1" x14ac:dyDescent="0.25">
      <c r="A43" s="538">
        <v>34</v>
      </c>
      <c r="B43" s="539" t="s">
        <v>522</v>
      </c>
      <c r="C43" s="512"/>
      <c r="D43" s="513"/>
      <c r="E43" s="513"/>
      <c r="F43" s="513"/>
      <c r="G43" s="513"/>
      <c r="H43" s="513"/>
      <c r="I43" s="513"/>
      <c r="J43" s="513"/>
      <c r="K43" s="513"/>
      <c r="L43" s="513"/>
      <c r="M43" s="513"/>
      <c r="N43" s="513"/>
      <c r="O43" s="514"/>
      <c r="P43" s="513"/>
      <c r="Q43" s="514"/>
      <c r="R43" s="513"/>
      <c r="S43" s="514"/>
      <c r="T43" s="514"/>
      <c r="U43" s="514"/>
      <c r="V43" s="513"/>
      <c r="W43" s="514"/>
      <c r="X43" s="514"/>
      <c r="Y43" s="514"/>
      <c r="Z43" s="513"/>
      <c r="AA43" s="514"/>
      <c r="AB43" s="513"/>
      <c r="AC43" s="514"/>
      <c r="AD43" s="570"/>
      <c r="AE43" s="680"/>
      <c r="AF43" s="590"/>
      <c r="AG43" s="588"/>
      <c r="AH43" s="515"/>
    </row>
    <row r="44" spans="1:79" s="510" customFormat="1" ht="40.35" customHeight="1" x14ac:dyDescent="0.25">
      <c r="A44" s="538">
        <v>35</v>
      </c>
      <c r="B44" s="540" t="s">
        <v>1347</v>
      </c>
      <c r="C44" s="525"/>
      <c r="D44" s="523"/>
      <c r="E44" s="523"/>
      <c r="F44" s="523"/>
      <c r="G44" s="526"/>
      <c r="H44" s="523"/>
      <c r="I44" s="523"/>
      <c r="J44" s="523"/>
      <c r="K44" s="523"/>
      <c r="L44" s="523"/>
      <c r="M44" s="523"/>
      <c r="N44" s="523"/>
      <c r="O44" s="524"/>
      <c r="P44" s="523"/>
      <c r="Q44" s="524"/>
      <c r="R44" s="523"/>
      <c r="S44" s="524"/>
      <c r="T44" s="524"/>
      <c r="U44" s="524"/>
      <c r="V44" s="523"/>
      <c r="W44" s="524"/>
      <c r="X44" s="524"/>
      <c r="Y44" s="524"/>
      <c r="Z44" s="523"/>
      <c r="AA44" s="524"/>
      <c r="AB44" s="523"/>
      <c r="AC44" s="524"/>
      <c r="AD44" s="524"/>
      <c r="AE44" s="523"/>
      <c r="AF44" s="589"/>
      <c r="AG44" s="526"/>
      <c r="AH44" s="529">
        <f>SUM(C44:AG44)</f>
        <v>0</v>
      </c>
    </row>
    <row r="45" spans="1:79" s="510" customFormat="1" ht="53.85" customHeight="1" x14ac:dyDescent="0.25">
      <c r="A45" s="538">
        <v>36</v>
      </c>
      <c r="B45" s="541" t="s">
        <v>1440</v>
      </c>
      <c r="C45" s="527">
        <f>SUM(C41:C44)</f>
        <v>0</v>
      </c>
      <c r="D45" s="527">
        <f>SUM(D41:D44)</f>
        <v>4524068.49</v>
      </c>
      <c r="E45" s="528">
        <f t="shared" ref="E45:AB45" si="3">SUM(E41:E44)</f>
        <v>4510428.6399999997</v>
      </c>
      <c r="F45" s="528">
        <f>SUM(F41:F44)</f>
        <v>5411762.9500000002</v>
      </c>
      <c r="G45" s="528">
        <f t="shared" si="3"/>
        <v>4774163.21</v>
      </c>
      <c r="H45" s="528">
        <f t="shared" si="3"/>
        <v>4961937.2699999996</v>
      </c>
      <c r="I45" s="528">
        <f t="shared" si="3"/>
        <v>4930806.0200000005</v>
      </c>
      <c r="J45" s="528">
        <f t="shared" si="3"/>
        <v>4613574.07</v>
      </c>
      <c r="K45" s="528">
        <f t="shared" si="3"/>
        <v>5048531.03</v>
      </c>
      <c r="L45" s="528">
        <f t="shared" si="3"/>
        <v>4738162.96</v>
      </c>
      <c r="M45" s="528">
        <f t="shared" si="3"/>
        <v>4366828.3899999997</v>
      </c>
      <c r="N45" s="528">
        <f t="shared" si="3"/>
        <v>4238185.59</v>
      </c>
      <c r="O45" s="528">
        <f t="shared" si="3"/>
        <v>4001231.27</v>
      </c>
      <c r="P45" s="528">
        <f t="shared" si="3"/>
        <v>3735415.33</v>
      </c>
      <c r="Q45" s="528">
        <f t="shared" si="3"/>
        <v>4143374.91</v>
      </c>
      <c r="R45" s="528">
        <f t="shared" si="3"/>
        <v>4364393.54</v>
      </c>
      <c r="S45" s="528">
        <f t="shared" si="3"/>
        <v>4015756.84</v>
      </c>
      <c r="T45" s="528">
        <f t="shared" si="3"/>
        <v>4308973.2300000004</v>
      </c>
      <c r="U45" s="528">
        <f t="shared" si="3"/>
        <v>3774992.93</v>
      </c>
      <c r="V45" s="528">
        <f t="shared" si="3"/>
        <v>3927179.18</v>
      </c>
      <c r="W45" s="528">
        <f t="shared" si="3"/>
        <v>4144623.6100000003</v>
      </c>
      <c r="X45" s="528">
        <f t="shared" si="3"/>
        <v>0</v>
      </c>
      <c r="Y45" s="528">
        <f t="shared" si="3"/>
        <v>0</v>
      </c>
      <c r="Z45" s="528">
        <f t="shared" si="3"/>
        <v>0</v>
      </c>
      <c r="AA45" s="528">
        <f t="shared" si="3"/>
        <v>0</v>
      </c>
      <c r="AB45" s="528">
        <f t="shared" si="3"/>
        <v>0</v>
      </c>
      <c r="AC45" s="528">
        <f t="shared" ref="AC45:AH45" si="4">SUM(AC41:AC44)</f>
        <v>0</v>
      </c>
      <c r="AD45" s="528">
        <f t="shared" si="4"/>
        <v>0</v>
      </c>
      <c r="AE45" s="528">
        <f t="shared" si="4"/>
        <v>0</v>
      </c>
      <c r="AF45" s="528">
        <f t="shared" si="4"/>
        <v>0</v>
      </c>
      <c r="AG45" s="530">
        <f t="shared" si="4"/>
        <v>162849646.08000004</v>
      </c>
      <c r="AH45" s="529">
        <f t="shared" si="4"/>
        <v>251384035.54000008</v>
      </c>
    </row>
    <row r="46" spans="1:79" s="510" customFormat="1" ht="53.25" customHeight="1" x14ac:dyDescent="0.25">
      <c r="A46" s="538">
        <v>37</v>
      </c>
      <c r="B46" s="541" t="s">
        <v>523</v>
      </c>
      <c r="C46" s="525"/>
      <c r="D46" s="523">
        <v>67763.034254159764</v>
      </c>
      <c r="E46" s="523">
        <v>29247.568215382642</v>
      </c>
      <c r="F46" s="523">
        <v>22591.120833091525</v>
      </c>
      <c r="G46" s="526">
        <v>19622.615244974815</v>
      </c>
      <c r="H46" s="523">
        <v>12969.675307722353</v>
      </c>
      <c r="I46" s="523">
        <v>6672.0675483314317</v>
      </c>
      <c r="J46" s="523">
        <v>4164.4765634778996</v>
      </c>
      <c r="K46" s="523">
        <v>860.906434473236</v>
      </c>
      <c r="L46" s="523">
        <v>1591.7012326421598</v>
      </c>
      <c r="M46" s="523">
        <v>5.7715021274330989E-9</v>
      </c>
      <c r="N46" s="523">
        <v>0</v>
      </c>
      <c r="O46" s="524">
        <v>-1.0239252904509169E-8</v>
      </c>
      <c r="P46" s="523">
        <v>-3.934887446274591E-9</v>
      </c>
      <c r="Q46" s="524">
        <v>1.1948291464595706E-9</v>
      </c>
      <c r="R46" s="523">
        <v>-3.0716886161115776E-9</v>
      </c>
      <c r="S46" s="524">
        <v>1.0461622892916485E-8</v>
      </c>
      <c r="T46" s="524">
        <v>0</v>
      </c>
      <c r="U46" s="524">
        <v>5.8490860428164191E-10</v>
      </c>
      <c r="V46" s="523">
        <v>1.8912333953893095E-9</v>
      </c>
      <c r="W46" s="524">
        <v>-5.8377063025517899E-9</v>
      </c>
      <c r="X46" s="524">
        <v>0</v>
      </c>
      <c r="Y46" s="524"/>
      <c r="Z46" s="523">
        <v>0</v>
      </c>
      <c r="AA46" s="524">
        <v>5.8490860428164191E-10</v>
      </c>
      <c r="AB46" s="523">
        <v>1.8912333953893095E-9</v>
      </c>
      <c r="AC46" s="524">
        <v>-5.8377063025517899E-9</v>
      </c>
      <c r="AD46" s="524">
        <v>5.8490860428164191E-10</v>
      </c>
      <c r="AE46" s="523">
        <v>1.8912333953893095E-9</v>
      </c>
      <c r="AF46" s="589">
        <v>-5.8377063025517899E-9</v>
      </c>
      <c r="AG46" s="526">
        <v>0</v>
      </c>
      <c r="AH46" s="529">
        <f>SUM(C46:AG46)</f>
        <v>165483.16563424584</v>
      </c>
    </row>
    <row r="47" spans="1:79" s="510" customFormat="1" ht="40.35" customHeight="1" thickBot="1" x14ac:dyDescent="0.3">
      <c r="A47" s="542">
        <v>38</v>
      </c>
      <c r="B47" s="543" t="s">
        <v>1415</v>
      </c>
      <c r="C47" s="531">
        <f>SUM(C45:C46)</f>
        <v>0</v>
      </c>
      <c r="D47" s="531">
        <f t="shared" ref="D47:AC47" si="5">SUM(D45:D46)</f>
        <v>4591831.52425416</v>
      </c>
      <c r="E47" s="531">
        <f t="shared" si="5"/>
        <v>4539676.208215382</v>
      </c>
      <c r="F47" s="531">
        <f t="shared" si="5"/>
        <v>5434354.0708330916</v>
      </c>
      <c r="G47" s="531">
        <f t="shared" si="5"/>
        <v>4793785.8252449743</v>
      </c>
      <c r="H47" s="531">
        <f t="shared" si="5"/>
        <v>4974906.9453077223</v>
      </c>
      <c r="I47" s="531">
        <f t="shared" si="5"/>
        <v>4937478.0875483323</v>
      </c>
      <c r="J47" s="531">
        <f t="shared" si="5"/>
        <v>4617738.5465634782</v>
      </c>
      <c r="K47" s="531">
        <f t="shared" si="5"/>
        <v>5049391.9364344738</v>
      </c>
      <c r="L47" s="531">
        <f t="shared" si="5"/>
        <v>4739754.6612326419</v>
      </c>
      <c r="M47" s="531">
        <f t="shared" si="5"/>
        <v>4366828.3900000053</v>
      </c>
      <c r="N47" s="531">
        <f t="shared" si="5"/>
        <v>4238185.59</v>
      </c>
      <c r="O47" s="531">
        <f t="shared" si="5"/>
        <v>4001231.2699999898</v>
      </c>
      <c r="P47" s="531">
        <f t="shared" si="5"/>
        <v>3735415.3299999963</v>
      </c>
      <c r="Q47" s="531">
        <f t="shared" si="5"/>
        <v>4143374.9100000015</v>
      </c>
      <c r="R47" s="531">
        <f t="shared" si="5"/>
        <v>4364393.5399999972</v>
      </c>
      <c r="S47" s="531">
        <f t="shared" si="5"/>
        <v>4015756.8400000101</v>
      </c>
      <c r="T47" s="531">
        <f t="shared" si="5"/>
        <v>4308973.2300000004</v>
      </c>
      <c r="U47" s="531">
        <f t="shared" si="5"/>
        <v>3774992.9300000006</v>
      </c>
      <c r="V47" s="531">
        <f t="shared" si="5"/>
        <v>3927179.180000002</v>
      </c>
      <c r="W47" s="531">
        <f t="shared" si="5"/>
        <v>4144623.6099999943</v>
      </c>
      <c r="X47" s="531">
        <f t="shared" si="5"/>
        <v>0</v>
      </c>
      <c r="Y47" s="531">
        <f t="shared" si="5"/>
        <v>0</v>
      </c>
      <c r="Z47" s="531">
        <f t="shared" si="5"/>
        <v>0</v>
      </c>
      <c r="AA47" s="531">
        <f t="shared" si="5"/>
        <v>5.8490860428164191E-10</v>
      </c>
      <c r="AB47" s="531">
        <f t="shared" si="5"/>
        <v>1.8912333953893095E-9</v>
      </c>
      <c r="AC47" s="531">
        <f t="shared" si="5"/>
        <v>-5.8377063025517899E-9</v>
      </c>
      <c r="AD47" s="531">
        <f>SUM(AD45:AD46)</f>
        <v>5.8490860428164191E-10</v>
      </c>
      <c r="AE47" s="531">
        <f>SUM(AE45:AE46)</f>
        <v>1.8912333953893095E-9</v>
      </c>
      <c r="AF47" s="531">
        <f>SUM(AF45:AF46)</f>
        <v>-5.8377063025517899E-9</v>
      </c>
      <c r="AG47" s="566">
        <f>SUM(AG45:AG46)</f>
        <v>162849646.08000004</v>
      </c>
      <c r="AH47" s="532">
        <f>SUM(AH45:AH46)</f>
        <v>251549518.70563433</v>
      </c>
    </row>
    <row r="48" spans="1:79" x14ac:dyDescent="0.25">
      <c r="AG48" s="508"/>
      <c r="AH48" s="508"/>
      <c r="AI48" s="508"/>
      <c r="AJ48" s="508"/>
      <c r="AK48" s="508"/>
      <c r="AL48" s="508"/>
      <c r="AM48" s="508"/>
      <c r="AN48" s="508"/>
      <c r="AO48" s="508"/>
      <c r="AP48" s="508"/>
      <c r="AQ48" s="508"/>
      <c r="AR48" s="508"/>
      <c r="AS48" s="508"/>
      <c r="AT48" s="508"/>
      <c r="AU48" s="508"/>
      <c r="AV48" s="508"/>
      <c r="AW48" s="508"/>
      <c r="AX48" s="508"/>
      <c r="AY48" s="508"/>
      <c r="AZ48" s="508"/>
      <c r="BA48" s="508"/>
      <c r="BB48" s="508"/>
      <c r="BC48" s="508"/>
      <c r="BD48" s="508"/>
      <c r="BE48" s="508"/>
      <c r="BF48" s="508"/>
      <c r="BG48" s="508"/>
      <c r="BH48" s="508"/>
      <c r="BI48" s="508"/>
      <c r="BJ48" s="508"/>
      <c r="BK48" s="508"/>
      <c r="BL48" s="508"/>
      <c r="BM48" s="508"/>
      <c r="BN48" s="508"/>
      <c r="BO48" s="508"/>
      <c r="BP48" s="508"/>
      <c r="BQ48" s="508"/>
      <c r="BR48" s="508"/>
      <c r="BS48" s="508"/>
      <c r="BT48" s="508"/>
      <c r="BU48" s="508"/>
      <c r="BV48" s="508"/>
      <c r="BW48" s="508"/>
      <c r="BX48" s="508"/>
      <c r="BY48" s="508"/>
      <c r="BZ48" s="508"/>
      <c r="CA48" s="508"/>
    </row>
    <row r="49" spans="33:79" x14ac:dyDescent="0.25">
      <c r="AG49" s="508"/>
      <c r="AH49" s="508"/>
      <c r="AI49" s="508"/>
      <c r="AJ49" s="508"/>
      <c r="AK49" s="508"/>
      <c r="AL49" s="508"/>
      <c r="AM49" s="508"/>
      <c r="AN49" s="508"/>
      <c r="AO49" s="508"/>
      <c r="AP49" s="508"/>
      <c r="AQ49" s="508"/>
      <c r="AR49" s="508"/>
      <c r="AS49" s="508"/>
      <c r="AT49" s="508"/>
      <c r="AU49" s="508"/>
      <c r="AV49" s="508"/>
      <c r="AW49" s="508"/>
      <c r="AX49" s="508"/>
      <c r="AY49" s="508"/>
      <c r="AZ49" s="508"/>
      <c r="BA49" s="508"/>
      <c r="BB49" s="508"/>
      <c r="BC49" s="508"/>
      <c r="BD49" s="508"/>
      <c r="BE49" s="508"/>
      <c r="BF49" s="508"/>
      <c r="BG49" s="508"/>
      <c r="BH49" s="508"/>
      <c r="BI49" s="508"/>
      <c r="BJ49" s="508"/>
      <c r="BK49" s="508"/>
      <c r="BL49" s="508"/>
      <c r="BM49" s="508"/>
      <c r="BN49" s="508"/>
      <c r="BO49" s="508"/>
      <c r="BP49" s="508"/>
      <c r="BQ49" s="508"/>
      <c r="BR49" s="508"/>
      <c r="BS49" s="508"/>
      <c r="BT49" s="508"/>
      <c r="BU49" s="508"/>
      <c r="BV49" s="508"/>
      <c r="BW49" s="508"/>
      <c r="BX49" s="508"/>
      <c r="BY49" s="508"/>
      <c r="BZ49" s="508"/>
      <c r="CA49" s="508"/>
    </row>
    <row r="50" spans="33:79" x14ac:dyDescent="0.25">
      <c r="AG50" s="508"/>
      <c r="AH50" s="508"/>
      <c r="AI50" s="508"/>
      <c r="AJ50" s="508"/>
      <c r="AK50" s="508"/>
      <c r="AL50" s="508"/>
      <c r="AM50" s="508"/>
      <c r="AN50" s="508"/>
      <c r="AO50" s="508"/>
      <c r="AP50" s="508"/>
      <c r="AQ50" s="508"/>
      <c r="AR50" s="508"/>
      <c r="AS50" s="508"/>
      <c r="AT50" s="508"/>
      <c r="AU50" s="508"/>
      <c r="AV50" s="508"/>
      <c r="AW50" s="508"/>
      <c r="AX50" s="508"/>
      <c r="AY50" s="508"/>
      <c r="AZ50" s="508"/>
      <c r="BA50" s="508"/>
      <c r="BB50" s="508"/>
      <c r="BC50" s="508"/>
      <c r="BD50" s="508"/>
      <c r="BE50" s="508"/>
      <c r="BF50" s="508"/>
      <c r="BG50" s="508"/>
      <c r="BH50" s="508"/>
      <c r="BI50" s="508"/>
      <c r="BJ50" s="508"/>
      <c r="BK50" s="508"/>
      <c r="BL50" s="508"/>
      <c r="BM50" s="508"/>
      <c r="BN50" s="508"/>
      <c r="BO50" s="508"/>
      <c r="BP50" s="508"/>
      <c r="BQ50" s="508"/>
      <c r="BR50" s="508"/>
      <c r="BS50" s="508"/>
      <c r="BT50" s="508"/>
      <c r="BU50" s="508"/>
      <c r="BV50" s="508"/>
      <c r="BW50" s="508"/>
      <c r="BX50" s="508"/>
      <c r="BY50" s="508"/>
      <c r="BZ50" s="508"/>
      <c r="CA50" s="508"/>
    </row>
    <row r="51" spans="33:79" x14ac:dyDescent="0.25">
      <c r="AG51" s="508"/>
      <c r="AH51" s="508"/>
      <c r="AI51" s="508"/>
      <c r="AJ51" s="508"/>
      <c r="AK51" s="508"/>
      <c r="AL51" s="508"/>
      <c r="AM51" s="508"/>
      <c r="AN51" s="508"/>
      <c r="AO51" s="508"/>
      <c r="AP51" s="508"/>
      <c r="AQ51" s="508"/>
      <c r="AR51" s="508"/>
      <c r="AS51" s="508"/>
      <c r="AT51" s="508"/>
      <c r="AU51" s="508"/>
      <c r="AV51" s="508"/>
      <c r="AW51" s="508"/>
      <c r="AX51" s="508"/>
      <c r="AY51" s="508"/>
      <c r="AZ51" s="508"/>
      <c r="BA51" s="508"/>
      <c r="BB51" s="508"/>
      <c r="BC51" s="508"/>
      <c r="BD51" s="508"/>
      <c r="BE51" s="508"/>
      <c r="BF51" s="508"/>
      <c r="BG51" s="508"/>
      <c r="BH51" s="508"/>
      <c r="BI51" s="508"/>
      <c r="BJ51" s="508"/>
      <c r="BK51" s="508"/>
      <c r="BL51" s="508"/>
      <c r="BM51" s="508"/>
      <c r="BN51" s="508"/>
      <c r="BO51" s="508"/>
      <c r="BP51" s="508"/>
      <c r="BQ51" s="508"/>
      <c r="BR51" s="508"/>
      <c r="BS51" s="508"/>
      <c r="BT51" s="508"/>
      <c r="BU51" s="508"/>
      <c r="BV51" s="508"/>
      <c r="BW51" s="508"/>
      <c r="BX51" s="508"/>
      <c r="BY51" s="508"/>
      <c r="BZ51" s="508"/>
      <c r="CA51" s="508"/>
    </row>
    <row r="52" spans="33:79" x14ac:dyDescent="0.25">
      <c r="AG52" s="508"/>
      <c r="AH52" s="508"/>
      <c r="AI52" s="508"/>
      <c r="AJ52" s="508"/>
      <c r="AK52" s="508"/>
      <c r="AL52" s="508"/>
      <c r="AM52" s="508"/>
      <c r="AN52" s="508"/>
      <c r="AO52" s="508"/>
      <c r="AP52" s="508"/>
      <c r="AQ52" s="508"/>
      <c r="AR52" s="508"/>
      <c r="AS52" s="508"/>
      <c r="AT52" s="508"/>
      <c r="AU52" s="508"/>
      <c r="AV52" s="508"/>
      <c r="AW52" s="508"/>
      <c r="AX52" s="508"/>
      <c r="AY52" s="508"/>
      <c r="AZ52" s="508"/>
      <c r="BA52" s="508"/>
      <c r="BB52" s="508"/>
      <c r="BC52" s="508"/>
      <c r="BD52" s="508"/>
      <c r="BE52" s="508"/>
      <c r="BF52" s="508"/>
      <c r="BG52" s="508"/>
      <c r="BH52" s="508"/>
      <c r="BI52" s="508"/>
      <c r="BJ52" s="508"/>
      <c r="BK52" s="508"/>
      <c r="BL52" s="508"/>
      <c r="BM52" s="508"/>
      <c r="BN52" s="508"/>
      <c r="BO52" s="508"/>
      <c r="BP52" s="508"/>
      <c r="BQ52" s="508"/>
      <c r="BR52" s="508"/>
      <c r="BS52" s="508"/>
      <c r="BT52" s="508"/>
      <c r="BU52" s="508"/>
      <c r="BV52" s="508"/>
      <c r="BW52" s="508"/>
      <c r="BX52" s="508"/>
      <c r="BY52" s="508"/>
      <c r="BZ52" s="508"/>
      <c r="CA52" s="508"/>
    </row>
    <row r="53" spans="33:79" x14ac:dyDescent="0.25">
      <c r="AG53" s="508"/>
      <c r="AH53" s="508"/>
      <c r="AI53" s="508"/>
      <c r="AJ53" s="508"/>
      <c r="AK53" s="508"/>
      <c r="AL53" s="508"/>
      <c r="AM53" s="508"/>
      <c r="AN53" s="508"/>
      <c r="AO53" s="508"/>
      <c r="AP53" s="508"/>
      <c r="AQ53" s="508"/>
      <c r="AR53" s="508"/>
      <c r="AS53" s="508"/>
      <c r="AT53" s="508"/>
      <c r="AU53" s="508"/>
      <c r="AV53" s="508"/>
      <c r="AW53" s="508"/>
      <c r="AX53" s="508"/>
      <c r="AY53" s="508"/>
      <c r="AZ53" s="508"/>
      <c r="BA53" s="508"/>
      <c r="BB53" s="508"/>
      <c r="BC53" s="508"/>
      <c r="BD53" s="508"/>
      <c r="BE53" s="508"/>
      <c r="BF53" s="508"/>
      <c r="BG53" s="508"/>
      <c r="BH53" s="508"/>
      <c r="BI53" s="508"/>
      <c r="BJ53" s="508"/>
      <c r="BK53" s="508"/>
      <c r="BL53" s="508"/>
      <c r="BM53" s="508"/>
      <c r="BN53" s="508"/>
      <c r="BO53" s="508"/>
      <c r="BP53" s="508"/>
      <c r="BQ53" s="508"/>
      <c r="BR53" s="508"/>
      <c r="BS53" s="508"/>
      <c r="BT53" s="508"/>
      <c r="BU53" s="508"/>
      <c r="BV53" s="508"/>
      <c r="BW53" s="508"/>
      <c r="BX53" s="508"/>
      <c r="BY53" s="508"/>
      <c r="BZ53" s="508"/>
      <c r="CA53" s="508"/>
    </row>
    <row r="54" spans="33:79" x14ac:dyDescent="0.25">
      <c r="AG54" s="508"/>
      <c r="AH54" s="508"/>
      <c r="AI54" s="508"/>
      <c r="AJ54" s="508"/>
      <c r="AK54" s="508"/>
      <c r="AL54" s="508"/>
      <c r="AM54" s="508"/>
      <c r="AN54" s="508"/>
      <c r="AO54" s="508"/>
      <c r="AP54" s="508"/>
      <c r="AQ54" s="508"/>
      <c r="AR54" s="508"/>
      <c r="AS54" s="508"/>
      <c r="AT54" s="508"/>
      <c r="AU54" s="508"/>
      <c r="AV54" s="508"/>
      <c r="AW54" s="508"/>
      <c r="AX54" s="508"/>
      <c r="AY54" s="508"/>
      <c r="AZ54" s="508"/>
      <c r="BA54" s="508"/>
      <c r="BB54" s="508"/>
      <c r="BC54" s="508"/>
      <c r="BD54" s="508"/>
      <c r="BE54" s="508"/>
      <c r="BF54" s="508"/>
      <c r="BG54" s="508"/>
      <c r="BH54" s="508"/>
      <c r="BI54" s="508"/>
      <c r="BJ54" s="508"/>
      <c r="BK54" s="508"/>
      <c r="BL54" s="508"/>
      <c r="BM54" s="508"/>
      <c r="BN54" s="508"/>
      <c r="BO54" s="508"/>
      <c r="BP54" s="508"/>
      <c r="BQ54" s="508"/>
      <c r="BR54" s="508"/>
      <c r="BS54" s="508"/>
      <c r="BT54" s="508"/>
      <c r="BU54" s="508"/>
      <c r="BV54" s="508"/>
      <c r="BW54" s="508"/>
      <c r="BX54" s="508"/>
      <c r="BY54" s="508"/>
      <c r="BZ54" s="508"/>
      <c r="CA54" s="508"/>
    </row>
    <row r="55" spans="33:79" x14ac:dyDescent="0.25">
      <c r="AG55" s="508"/>
      <c r="AH55" s="508"/>
      <c r="AI55" s="508"/>
      <c r="AJ55" s="508"/>
      <c r="AK55" s="508"/>
      <c r="AL55" s="508"/>
      <c r="AM55" s="508"/>
      <c r="AN55" s="508"/>
      <c r="AO55" s="508"/>
      <c r="AP55" s="508"/>
      <c r="AQ55" s="508"/>
      <c r="AR55" s="508"/>
      <c r="AS55" s="508"/>
      <c r="AT55" s="508"/>
      <c r="AU55" s="508"/>
      <c r="AV55" s="508"/>
      <c r="AW55" s="508"/>
      <c r="AX55" s="508"/>
      <c r="AY55" s="508"/>
      <c r="AZ55" s="508"/>
      <c r="BA55" s="508"/>
      <c r="BB55" s="508"/>
      <c r="BC55" s="508"/>
      <c r="BD55" s="508"/>
      <c r="BE55" s="508"/>
      <c r="BF55" s="508"/>
      <c r="BG55" s="508"/>
      <c r="BH55" s="508"/>
      <c r="BI55" s="508"/>
      <c r="BJ55" s="508"/>
      <c r="BK55" s="508"/>
      <c r="BL55" s="508"/>
      <c r="BM55" s="508"/>
      <c r="BN55" s="508"/>
      <c r="BO55" s="508"/>
      <c r="BP55" s="508"/>
      <c r="BQ55" s="508"/>
      <c r="BR55" s="508"/>
      <c r="BS55" s="508"/>
      <c r="BT55" s="508"/>
      <c r="BU55" s="508"/>
      <c r="BV55" s="508"/>
      <c r="BW55" s="508"/>
      <c r="BX55" s="508"/>
      <c r="BY55" s="508"/>
      <c r="BZ55" s="508"/>
      <c r="CA55" s="508"/>
    </row>
    <row r="56" spans="33:79" x14ac:dyDescent="0.25">
      <c r="AG56" s="508"/>
      <c r="AH56" s="508"/>
      <c r="AI56" s="508"/>
      <c r="AJ56" s="508"/>
      <c r="AK56" s="508"/>
      <c r="AL56" s="508"/>
      <c r="AM56" s="508"/>
      <c r="AN56" s="508"/>
      <c r="AO56" s="508"/>
      <c r="AP56" s="508"/>
      <c r="AQ56" s="508"/>
      <c r="AR56" s="508"/>
      <c r="AS56" s="508"/>
      <c r="AT56" s="508"/>
      <c r="AU56" s="508"/>
      <c r="AV56" s="508"/>
      <c r="AW56" s="508"/>
      <c r="AX56" s="508"/>
      <c r="AY56" s="508"/>
      <c r="AZ56" s="508"/>
      <c r="BA56" s="508"/>
      <c r="BB56" s="508"/>
      <c r="BC56" s="508"/>
      <c r="BD56" s="508"/>
      <c r="BE56" s="508"/>
      <c r="BF56" s="508"/>
      <c r="BG56" s="508"/>
      <c r="BH56" s="508"/>
      <c r="BI56" s="508"/>
      <c r="BJ56" s="508"/>
      <c r="BK56" s="508"/>
      <c r="BL56" s="508"/>
      <c r="BM56" s="508"/>
      <c r="BN56" s="508"/>
      <c r="BO56" s="508"/>
      <c r="BP56" s="508"/>
      <c r="BQ56" s="508"/>
      <c r="BR56" s="508"/>
      <c r="BS56" s="508"/>
      <c r="BT56" s="508"/>
      <c r="BU56" s="508"/>
      <c r="BV56" s="508"/>
      <c r="BW56" s="508"/>
      <c r="BX56" s="508"/>
      <c r="BY56" s="508"/>
      <c r="BZ56" s="508"/>
      <c r="CA56" s="508"/>
    </row>
    <row r="57" spans="33:79" x14ac:dyDescent="0.25">
      <c r="AG57" s="508"/>
      <c r="AH57" s="508"/>
      <c r="AI57" s="508"/>
      <c r="AJ57" s="508"/>
      <c r="AK57" s="508"/>
      <c r="AL57" s="508"/>
      <c r="AM57" s="508"/>
      <c r="AN57" s="508"/>
      <c r="AO57" s="508"/>
      <c r="AP57" s="508"/>
      <c r="AQ57" s="508"/>
      <c r="AR57" s="508"/>
      <c r="AS57" s="508"/>
      <c r="AT57" s="508"/>
      <c r="AU57" s="508"/>
      <c r="AV57" s="508"/>
      <c r="AW57" s="508"/>
      <c r="AX57" s="508"/>
      <c r="AY57" s="508"/>
      <c r="AZ57" s="508"/>
      <c r="BA57" s="508"/>
      <c r="BB57" s="508"/>
      <c r="BC57" s="508"/>
      <c r="BD57" s="508"/>
      <c r="BE57" s="508"/>
      <c r="BF57" s="508"/>
      <c r="BG57" s="508"/>
      <c r="BH57" s="508"/>
      <c r="BI57" s="508"/>
      <c r="BJ57" s="508"/>
      <c r="BK57" s="508"/>
      <c r="BL57" s="508"/>
      <c r="BM57" s="508"/>
      <c r="BN57" s="508"/>
      <c r="BO57" s="508"/>
      <c r="BP57" s="508"/>
      <c r="BQ57" s="508"/>
      <c r="BR57" s="508"/>
      <c r="BS57" s="508"/>
      <c r="BT57" s="508"/>
      <c r="BU57" s="508"/>
      <c r="BV57" s="508"/>
      <c r="BW57" s="508"/>
      <c r="BX57" s="508"/>
      <c r="BY57" s="508"/>
      <c r="BZ57" s="508"/>
      <c r="CA57" s="508"/>
    </row>
    <row r="58" spans="33:79" x14ac:dyDescent="0.25">
      <c r="AG58" s="508"/>
      <c r="AH58" s="508"/>
      <c r="AI58" s="508"/>
      <c r="AJ58" s="508"/>
      <c r="AK58" s="508"/>
      <c r="AL58" s="508"/>
      <c r="AM58" s="508"/>
      <c r="AN58" s="508"/>
      <c r="AO58" s="508"/>
      <c r="AP58" s="508"/>
      <c r="AQ58" s="508"/>
      <c r="AR58" s="508"/>
      <c r="AS58" s="508"/>
      <c r="AT58" s="508"/>
      <c r="AU58" s="508"/>
      <c r="AV58" s="508"/>
      <c r="AW58" s="508"/>
      <c r="AX58" s="508"/>
      <c r="AY58" s="508"/>
      <c r="AZ58" s="508"/>
      <c r="BA58" s="508"/>
      <c r="BB58" s="508"/>
      <c r="BC58" s="508"/>
      <c r="BD58" s="508"/>
      <c r="BE58" s="508"/>
      <c r="BF58" s="508"/>
      <c r="BG58" s="508"/>
      <c r="BH58" s="508"/>
      <c r="BI58" s="508"/>
      <c r="BJ58" s="508"/>
      <c r="BK58" s="508"/>
      <c r="BL58" s="508"/>
      <c r="BM58" s="508"/>
      <c r="BN58" s="508"/>
      <c r="BO58" s="508"/>
      <c r="BP58" s="508"/>
      <c r="BQ58" s="508"/>
      <c r="BR58" s="508"/>
      <c r="BS58" s="508"/>
      <c r="BT58" s="508"/>
      <c r="BU58" s="508"/>
      <c r="BV58" s="508"/>
      <c r="BW58" s="508"/>
      <c r="BX58" s="508"/>
      <c r="BY58" s="508"/>
      <c r="BZ58" s="508"/>
      <c r="CA58" s="508"/>
    </row>
    <row r="59" spans="33:79" x14ac:dyDescent="0.25">
      <c r="AG59" s="508"/>
      <c r="AH59" s="508"/>
      <c r="AI59" s="508"/>
      <c r="AJ59" s="508"/>
      <c r="AK59" s="508"/>
      <c r="AL59" s="508"/>
      <c r="AM59" s="508"/>
      <c r="AN59" s="508"/>
      <c r="AO59" s="508"/>
      <c r="AP59" s="508"/>
      <c r="AQ59" s="508"/>
      <c r="AR59" s="508"/>
      <c r="AS59" s="508"/>
      <c r="AT59" s="508"/>
      <c r="AU59" s="508"/>
      <c r="AV59" s="508"/>
      <c r="AW59" s="508"/>
      <c r="AX59" s="508"/>
      <c r="AY59" s="508"/>
      <c r="AZ59" s="508"/>
      <c r="BA59" s="508"/>
      <c r="BB59" s="508"/>
      <c r="BC59" s="508"/>
      <c r="BD59" s="508"/>
      <c r="BE59" s="508"/>
      <c r="BF59" s="508"/>
      <c r="BG59" s="508"/>
      <c r="BH59" s="508"/>
      <c r="BI59" s="508"/>
      <c r="BJ59" s="508"/>
      <c r="BK59" s="508"/>
      <c r="BL59" s="508"/>
      <c r="BM59" s="508"/>
      <c r="BN59" s="508"/>
      <c r="BO59" s="508"/>
      <c r="BP59" s="508"/>
      <c r="BQ59" s="508"/>
      <c r="BR59" s="508"/>
      <c r="BS59" s="508"/>
      <c r="BT59" s="508"/>
      <c r="BU59" s="508"/>
      <c r="BV59" s="508"/>
      <c r="BW59" s="508"/>
      <c r="BX59" s="508"/>
      <c r="BY59" s="508"/>
      <c r="BZ59" s="508"/>
      <c r="CA59" s="508"/>
    </row>
    <row r="60" spans="33:79" x14ac:dyDescent="0.25">
      <c r="AG60" s="508"/>
      <c r="AH60" s="508"/>
      <c r="AI60" s="508"/>
      <c r="AJ60" s="508"/>
      <c r="AK60" s="508"/>
      <c r="AL60" s="508"/>
      <c r="AM60" s="508"/>
      <c r="AN60" s="508"/>
      <c r="AO60" s="508"/>
      <c r="AP60" s="508"/>
      <c r="AQ60" s="508"/>
      <c r="AR60" s="508"/>
      <c r="AS60" s="508"/>
      <c r="AT60" s="508"/>
      <c r="AU60" s="508"/>
      <c r="AV60" s="508"/>
      <c r="AW60" s="508"/>
      <c r="AX60" s="508"/>
      <c r="AY60" s="508"/>
      <c r="AZ60" s="508"/>
      <c r="BA60" s="508"/>
      <c r="BB60" s="508"/>
      <c r="BC60" s="508"/>
      <c r="BD60" s="508"/>
      <c r="BE60" s="508"/>
      <c r="BF60" s="508"/>
      <c r="BG60" s="508"/>
      <c r="BH60" s="508"/>
      <c r="BI60" s="508"/>
      <c r="BJ60" s="508"/>
      <c r="BK60" s="508"/>
      <c r="BL60" s="508"/>
      <c r="BM60" s="508"/>
      <c r="BN60" s="508"/>
      <c r="BO60" s="508"/>
      <c r="BP60" s="508"/>
      <c r="BQ60" s="508"/>
      <c r="BR60" s="508"/>
      <c r="BS60" s="508"/>
      <c r="BT60" s="508"/>
      <c r="BU60" s="508"/>
      <c r="BV60" s="508"/>
      <c r="BW60" s="508"/>
      <c r="BX60" s="508"/>
      <c r="BY60" s="508"/>
      <c r="BZ60" s="508"/>
      <c r="CA60" s="508"/>
    </row>
    <row r="61" spans="33:79" x14ac:dyDescent="0.25">
      <c r="AG61" s="508"/>
      <c r="AH61" s="508"/>
      <c r="AI61" s="508"/>
      <c r="AJ61" s="508"/>
      <c r="AK61" s="508"/>
      <c r="AL61" s="508"/>
      <c r="AM61" s="508"/>
      <c r="AN61" s="508"/>
      <c r="AO61" s="508"/>
      <c r="AP61" s="508"/>
      <c r="AQ61" s="508"/>
      <c r="AR61" s="508"/>
      <c r="AS61" s="508"/>
      <c r="AT61" s="508"/>
      <c r="AU61" s="508"/>
      <c r="AV61" s="508"/>
      <c r="AW61" s="508"/>
      <c r="AX61" s="508"/>
      <c r="AY61" s="508"/>
      <c r="AZ61" s="508"/>
      <c r="BA61" s="508"/>
      <c r="BB61" s="508"/>
      <c r="BC61" s="508"/>
      <c r="BD61" s="508"/>
      <c r="BE61" s="508"/>
      <c r="BF61" s="508"/>
      <c r="BG61" s="508"/>
      <c r="BH61" s="508"/>
      <c r="BI61" s="508"/>
      <c r="BJ61" s="508"/>
      <c r="BK61" s="508"/>
      <c r="BL61" s="508"/>
      <c r="BM61" s="508"/>
      <c r="BN61" s="508"/>
      <c r="BO61" s="508"/>
      <c r="BP61" s="508"/>
      <c r="BQ61" s="508"/>
      <c r="BR61" s="508"/>
      <c r="BS61" s="508"/>
      <c r="BT61" s="508"/>
      <c r="BU61" s="508"/>
      <c r="BV61" s="508"/>
      <c r="BW61" s="508"/>
      <c r="BX61" s="508"/>
      <c r="BY61" s="508"/>
      <c r="BZ61" s="508"/>
      <c r="CA61" s="508"/>
    </row>
  </sheetData>
  <sheetProtection algorithmName="SHA-512" hashValue="D6K6TtasI/BEN7euEVknR1ft1pwtVwKScJ13XcD47xKyiZ208TQpOZqT+KVrAbGgInGD+dCAzM7byo5nUsLOSQ==" saltValue="iaoJZqPGQduImOgzIJZcH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A1:DJ61"/>
  <sheetViews>
    <sheetView zoomScale="60" zoomScaleNormal="60" workbookViewId="0">
      <selection activeCell="D46" sqref="D46:X46"/>
    </sheetView>
  </sheetViews>
  <sheetFormatPr defaultColWidth="8" defaultRowHeight="13.2" x14ac:dyDescent="0.25"/>
  <cols>
    <col min="1" max="1" width="6.5546875" style="507" bestFit="1" customWidth="1"/>
    <col min="2" max="2" width="24.5546875" style="516" customWidth="1"/>
    <col min="3" max="3" width="16.5546875" style="516" customWidth="1"/>
    <col min="4" max="28" width="16.5546875" style="506" customWidth="1"/>
    <col min="29" max="32" width="16.5546875" style="507" customWidth="1"/>
    <col min="33" max="33" width="23.44140625" style="509" bestFit="1" customWidth="1"/>
    <col min="34" max="34" width="16.5546875" style="509" customWidth="1"/>
    <col min="35" max="16384" width="8" style="509"/>
  </cols>
  <sheetData>
    <row r="1" spans="1:114" ht="15.6" x14ac:dyDescent="0.3">
      <c r="A1" s="475" t="s">
        <v>1305</v>
      </c>
      <c r="B1" s="504"/>
      <c r="C1" s="505"/>
      <c r="D1" s="478"/>
      <c r="E1" s="505"/>
      <c r="F1" s="505"/>
      <c r="AB1" s="507"/>
      <c r="AC1" s="508"/>
      <c r="AD1" s="508"/>
      <c r="AE1" s="508"/>
      <c r="AF1" s="508"/>
      <c r="AG1" s="508"/>
      <c r="AH1" s="508"/>
      <c r="AI1" s="508"/>
      <c r="AJ1" s="508"/>
      <c r="AK1" s="508"/>
      <c r="AL1" s="508"/>
      <c r="AM1" s="508"/>
      <c r="AN1" s="508"/>
      <c r="AO1" s="508"/>
      <c r="AP1" s="508"/>
      <c r="AQ1" s="508"/>
      <c r="AR1" s="508"/>
      <c r="AS1" s="508"/>
      <c r="AT1" s="508"/>
      <c r="AU1" s="508"/>
      <c r="AV1" s="508"/>
      <c r="AW1" s="508"/>
      <c r="AX1" s="508"/>
      <c r="AY1" s="508"/>
      <c r="AZ1" s="508"/>
      <c r="BA1" s="508"/>
      <c r="BB1" s="508"/>
      <c r="BC1" s="508"/>
      <c r="BD1" s="508"/>
      <c r="BE1" s="508"/>
      <c r="BF1" s="508"/>
      <c r="BG1" s="508"/>
      <c r="BH1" s="508"/>
      <c r="BI1" s="508"/>
      <c r="BJ1" s="508"/>
      <c r="BK1" s="508"/>
      <c r="BL1" s="508"/>
      <c r="BM1" s="508"/>
      <c r="BN1" s="508"/>
      <c r="BO1" s="508"/>
      <c r="BP1" s="508"/>
      <c r="BQ1" s="508"/>
      <c r="BR1" s="508"/>
      <c r="BS1" s="508"/>
      <c r="BT1" s="508"/>
      <c r="BU1" s="508"/>
      <c r="BV1" s="508"/>
      <c r="BW1" s="508"/>
      <c r="BX1" s="508"/>
      <c r="BY1" s="508"/>
      <c r="BZ1" s="508"/>
      <c r="CA1" s="508"/>
      <c r="CB1" s="508"/>
      <c r="CC1" s="508"/>
      <c r="CD1" s="508"/>
      <c r="CE1" s="508"/>
      <c r="CF1" s="508"/>
      <c r="CG1" s="508"/>
      <c r="CH1" s="508"/>
      <c r="CI1" s="508"/>
      <c r="CJ1" s="508"/>
      <c r="CK1" s="508"/>
      <c r="CL1" s="508"/>
      <c r="CM1" s="508"/>
      <c r="CN1" s="508"/>
      <c r="CO1" s="508"/>
      <c r="CP1" s="508"/>
      <c r="CQ1" s="508"/>
      <c r="CR1" s="508"/>
      <c r="CS1" s="508"/>
      <c r="CT1" s="508"/>
      <c r="CU1" s="508"/>
      <c r="CV1" s="508"/>
      <c r="CW1" s="508"/>
      <c r="CX1" s="508"/>
      <c r="CY1" s="508"/>
      <c r="CZ1" s="508"/>
      <c r="DA1" s="508"/>
      <c r="DB1" s="508"/>
      <c r="DC1" s="508"/>
      <c r="DD1" s="508"/>
      <c r="DE1" s="508"/>
      <c r="DF1" s="508"/>
      <c r="DG1" s="508"/>
      <c r="DH1" s="508"/>
      <c r="DI1" s="508"/>
      <c r="DJ1" s="508"/>
    </row>
    <row r="2" spans="1:114" x14ac:dyDescent="0.25">
      <c r="A2" s="201" t="s">
        <v>26</v>
      </c>
      <c r="B2" s="201"/>
      <c r="C2" s="445" t="str">
        <f>'Schedule 2_Balance Sheet'!C2</f>
        <v>Tufts Associated Health Plans, Inc. (TAHMO)</v>
      </c>
      <c r="D2" s="446"/>
      <c r="E2" s="446"/>
      <c r="F2" s="447"/>
      <c r="AB2" s="507"/>
      <c r="AC2" s="508"/>
      <c r="AD2" s="508"/>
      <c r="AE2" s="508"/>
      <c r="AF2" s="508"/>
      <c r="AG2" s="508"/>
      <c r="AH2" s="508"/>
      <c r="AI2" s="508"/>
      <c r="AJ2" s="508"/>
      <c r="AK2" s="508"/>
      <c r="AL2" s="508"/>
      <c r="AM2" s="508"/>
      <c r="AN2" s="508"/>
      <c r="AO2" s="508"/>
      <c r="AP2" s="508"/>
      <c r="AQ2" s="508"/>
      <c r="AR2" s="508"/>
      <c r="AS2" s="508"/>
      <c r="AT2" s="508"/>
      <c r="AU2" s="508"/>
      <c r="AV2" s="508"/>
      <c r="AW2" s="508"/>
      <c r="AX2" s="508"/>
      <c r="AY2" s="508"/>
      <c r="AZ2" s="508"/>
      <c r="BA2" s="508"/>
      <c r="BB2" s="508"/>
      <c r="BC2" s="508"/>
      <c r="BD2" s="508"/>
      <c r="BE2" s="508"/>
      <c r="BF2" s="508"/>
      <c r="BG2" s="508"/>
      <c r="BH2" s="508"/>
      <c r="BI2" s="508"/>
      <c r="BJ2" s="508"/>
      <c r="BK2" s="508"/>
      <c r="BL2" s="508"/>
      <c r="BM2" s="508"/>
      <c r="BN2" s="508"/>
      <c r="BO2" s="508"/>
      <c r="BP2" s="508"/>
      <c r="BQ2" s="508"/>
      <c r="BR2" s="508"/>
      <c r="BS2" s="508"/>
      <c r="BT2" s="508"/>
      <c r="BU2" s="508"/>
      <c r="BV2" s="508"/>
      <c r="BW2" s="508"/>
      <c r="BX2" s="508"/>
      <c r="BY2" s="508"/>
      <c r="BZ2" s="508"/>
      <c r="CA2" s="508"/>
      <c r="CB2" s="508"/>
      <c r="CC2" s="508"/>
      <c r="CD2" s="508"/>
      <c r="CE2" s="508"/>
      <c r="CF2" s="508"/>
      <c r="CG2" s="508"/>
      <c r="CH2" s="508"/>
      <c r="CI2" s="508"/>
      <c r="CJ2" s="508"/>
      <c r="CK2" s="508"/>
      <c r="CL2" s="508"/>
      <c r="CM2" s="508"/>
      <c r="CN2" s="508"/>
      <c r="CO2" s="508"/>
      <c r="CP2" s="508"/>
      <c r="CQ2" s="508"/>
      <c r="CR2" s="508"/>
      <c r="CS2" s="508"/>
      <c r="CT2" s="508"/>
      <c r="CU2" s="508"/>
      <c r="CV2" s="508"/>
      <c r="CW2" s="508"/>
      <c r="CX2" s="508"/>
      <c r="CY2" s="508"/>
      <c r="CZ2" s="508"/>
      <c r="DA2" s="508"/>
      <c r="DB2" s="508"/>
      <c r="DC2" s="508"/>
      <c r="DD2" s="508"/>
      <c r="DE2" s="508"/>
      <c r="DF2" s="508"/>
      <c r="DG2" s="508"/>
      <c r="DH2" s="508"/>
      <c r="DI2" s="508"/>
      <c r="DJ2" s="508"/>
    </row>
    <row r="3" spans="1:114" x14ac:dyDescent="0.25">
      <c r="A3" s="201" t="s">
        <v>0</v>
      </c>
      <c r="B3" s="201"/>
      <c r="C3" s="580" t="str">
        <f>'Schedule 2_Balance Sheet'!C3</f>
        <v>01/01/2024 - 12/31/2024</v>
      </c>
      <c r="D3" s="581"/>
      <c r="E3" s="581"/>
      <c r="F3" s="582"/>
      <c r="AB3" s="507"/>
      <c r="AC3" s="508"/>
      <c r="AD3" s="508"/>
      <c r="AE3" s="508"/>
      <c r="AF3" s="508"/>
      <c r="AG3" s="508"/>
      <c r="AH3" s="508"/>
      <c r="AI3" s="508"/>
      <c r="AJ3" s="508"/>
      <c r="AK3" s="508"/>
      <c r="AL3" s="508"/>
      <c r="AM3" s="508"/>
      <c r="AN3" s="508"/>
      <c r="AO3" s="508"/>
      <c r="AP3" s="508"/>
      <c r="AQ3" s="508"/>
      <c r="AR3" s="508"/>
      <c r="AS3" s="508"/>
      <c r="AT3" s="508"/>
      <c r="AU3" s="508"/>
      <c r="AV3" s="508"/>
      <c r="AW3" s="508"/>
      <c r="AX3" s="508"/>
      <c r="AY3" s="508"/>
      <c r="AZ3" s="508"/>
      <c r="BA3" s="508"/>
      <c r="BB3" s="508"/>
      <c r="BC3" s="508"/>
      <c r="BD3" s="508"/>
      <c r="BE3" s="508"/>
      <c r="BF3" s="508"/>
      <c r="BG3" s="508"/>
      <c r="BH3" s="508"/>
      <c r="BI3" s="508"/>
      <c r="BJ3" s="508"/>
      <c r="BK3" s="508"/>
      <c r="BL3" s="508"/>
      <c r="BM3" s="508"/>
      <c r="BN3" s="508"/>
      <c r="BO3" s="508"/>
      <c r="BP3" s="508"/>
      <c r="BQ3" s="508"/>
      <c r="BR3" s="508"/>
      <c r="BS3" s="508"/>
      <c r="BT3" s="508"/>
      <c r="BU3" s="508"/>
      <c r="BV3" s="508"/>
      <c r="BW3" s="508"/>
      <c r="BX3" s="508"/>
      <c r="BY3" s="508"/>
      <c r="BZ3" s="508"/>
      <c r="CA3" s="508"/>
      <c r="CB3" s="508"/>
      <c r="CC3" s="508"/>
      <c r="CD3" s="508"/>
      <c r="CE3" s="508"/>
      <c r="CF3" s="508"/>
      <c r="CG3" s="508"/>
      <c r="CH3" s="508"/>
      <c r="CI3" s="508"/>
      <c r="CJ3" s="508"/>
      <c r="CK3" s="508"/>
      <c r="CL3" s="508"/>
      <c r="CM3" s="508"/>
      <c r="CN3" s="508"/>
      <c r="CO3" s="508"/>
      <c r="CP3" s="508"/>
      <c r="CQ3" s="508"/>
      <c r="CR3" s="508"/>
      <c r="CS3" s="508"/>
      <c r="CT3" s="508"/>
      <c r="CU3" s="508"/>
      <c r="CV3" s="508"/>
      <c r="CW3" s="508"/>
      <c r="CX3" s="508"/>
      <c r="CY3" s="508"/>
      <c r="CZ3" s="508"/>
      <c r="DA3" s="508"/>
      <c r="DB3" s="508"/>
      <c r="DC3" s="508"/>
      <c r="DD3" s="508"/>
      <c r="DE3" s="508"/>
      <c r="DF3" s="508"/>
      <c r="DG3" s="508"/>
      <c r="DH3" s="508"/>
      <c r="DI3" s="508"/>
      <c r="DJ3" s="508"/>
    </row>
    <row r="4" spans="1:114" x14ac:dyDescent="0.25">
      <c r="A4" s="201" t="s">
        <v>27</v>
      </c>
      <c r="B4" s="201"/>
      <c r="C4" s="449">
        <f>'Schedule 2_Balance Sheet'!C4</f>
        <v>45657</v>
      </c>
      <c r="D4" s="446"/>
      <c r="E4" s="446"/>
      <c r="F4" s="447"/>
      <c r="AB4" s="507"/>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c r="CA4" s="508"/>
      <c r="CB4" s="508"/>
      <c r="CC4" s="508"/>
      <c r="CD4" s="508"/>
      <c r="CE4" s="508"/>
      <c r="CF4" s="508"/>
      <c r="CG4" s="508"/>
      <c r="CH4" s="508"/>
      <c r="CI4" s="508"/>
      <c r="CJ4" s="508"/>
      <c r="CK4" s="508"/>
      <c r="CL4" s="508"/>
      <c r="CM4" s="508"/>
      <c r="CN4" s="508"/>
      <c r="CO4" s="508"/>
      <c r="CP4" s="508"/>
      <c r="CQ4" s="508"/>
      <c r="CR4" s="508"/>
      <c r="CS4" s="508"/>
      <c r="CT4" s="508"/>
      <c r="CU4" s="508"/>
      <c r="CV4" s="508"/>
      <c r="CW4" s="508"/>
      <c r="CX4" s="508"/>
      <c r="CY4" s="508"/>
      <c r="CZ4" s="508"/>
      <c r="DA4" s="508"/>
      <c r="DB4" s="508"/>
      <c r="DC4" s="508"/>
      <c r="DD4" s="508"/>
      <c r="DE4" s="508"/>
      <c r="DF4" s="508"/>
      <c r="DG4" s="508"/>
      <c r="DH4" s="508"/>
      <c r="DI4" s="508"/>
      <c r="DJ4" s="508"/>
    </row>
    <row r="5" spans="1:114" x14ac:dyDescent="0.25">
      <c r="A5" s="201" t="s">
        <v>28</v>
      </c>
      <c r="B5" s="201"/>
      <c r="C5" s="445" t="str">
        <f>'Schedule 2_Balance Sheet'!C5</f>
        <v>Roshni Parikh</v>
      </c>
      <c r="D5" s="446"/>
      <c r="E5" s="446"/>
      <c r="F5" s="447"/>
      <c r="AB5" s="507"/>
      <c r="AC5" s="508"/>
      <c r="AD5" s="508"/>
      <c r="AE5" s="508"/>
      <c r="AF5" s="508"/>
      <c r="AG5" s="508"/>
      <c r="AH5" s="508"/>
      <c r="AI5" s="508"/>
      <c r="AJ5" s="508"/>
      <c r="AK5" s="508"/>
      <c r="AL5" s="508"/>
      <c r="AM5" s="508"/>
      <c r="AN5" s="508"/>
      <c r="AO5" s="508"/>
      <c r="AP5" s="508"/>
      <c r="AQ5" s="508"/>
      <c r="AR5" s="508"/>
      <c r="AS5" s="508"/>
      <c r="AT5" s="508"/>
      <c r="AU5" s="508"/>
      <c r="AV5" s="508"/>
      <c r="AW5" s="508"/>
      <c r="AX5" s="508"/>
      <c r="AY5" s="508"/>
      <c r="AZ5" s="508"/>
      <c r="BA5" s="508"/>
      <c r="BB5" s="508"/>
      <c r="BC5" s="508"/>
      <c r="BD5" s="508"/>
      <c r="BE5" s="508"/>
      <c r="BF5" s="508"/>
      <c r="BG5" s="508"/>
      <c r="BH5" s="508"/>
      <c r="BI5" s="508"/>
      <c r="BJ5" s="508"/>
      <c r="BK5" s="508"/>
      <c r="BL5" s="508"/>
      <c r="BM5" s="508"/>
      <c r="BN5" s="508"/>
      <c r="BO5" s="508"/>
      <c r="BP5" s="508"/>
      <c r="BQ5" s="508"/>
      <c r="BR5" s="508"/>
      <c r="BS5" s="508"/>
      <c r="BT5" s="508"/>
      <c r="BU5" s="508"/>
      <c r="BV5" s="508"/>
      <c r="BW5" s="508"/>
      <c r="BX5" s="508"/>
      <c r="BY5" s="508"/>
      <c r="BZ5" s="508"/>
      <c r="CA5" s="508"/>
      <c r="CB5" s="508"/>
      <c r="CC5" s="508"/>
      <c r="CD5" s="508"/>
      <c r="CE5" s="508"/>
      <c r="CF5" s="508"/>
      <c r="CG5" s="508"/>
      <c r="CH5" s="508"/>
      <c r="CI5" s="508"/>
      <c r="CJ5" s="508"/>
      <c r="CK5" s="508"/>
      <c r="CL5" s="508"/>
      <c r="CM5" s="508"/>
      <c r="CN5" s="508"/>
      <c r="CO5" s="508"/>
      <c r="CP5" s="508"/>
      <c r="CQ5" s="508"/>
      <c r="CR5" s="508"/>
      <c r="CS5" s="508"/>
      <c r="CT5" s="508"/>
      <c r="CU5" s="508"/>
      <c r="CV5" s="508"/>
      <c r="CW5" s="508"/>
      <c r="CX5" s="508"/>
      <c r="CY5" s="508"/>
      <c r="CZ5" s="508"/>
      <c r="DA5" s="508"/>
      <c r="DB5" s="508"/>
      <c r="DC5" s="508"/>
      <c r="DD5" s="508"/>
      <c r="DE5" s="508"/>
      <c r="DF5" s="508"/>
      <c r="DG5" s="508"/>
      <c r="DH5" s="508"/>
      <c r="DI5" s="508"/>
      <c r="DJ5" s="508"/>
    </row>
    <row r="6" spans="1:114" x14ac:dyDescent="0.25">
      <c r="A6" s="201" t="s">
        <v>29</v>
      </c>
      <c r="B6" s="201"/>
      <c r="C6" s="449">
        <f>'Schedule 2_Balance Sheet'!C6</f>
        <v>45657</v>
      </c>
      <c r="D6" s="446"/>
      <c r="E6" s="446"/>
      <c r="F6" s="447"/>
      <c r="AB6" s="507"/>
      <c r="AC6" s="508"/>
      <c r="AD6" s="508"/>
      <c r="AE6" s="508"/>
      <c r="AF6" s="508"/>
      <c r="AG6" s="508"/>
      <c r="AH6" s="508"/>
      <c r="AI6" s="508"/>
      <c r="AJ6" s="508"/>
      <c r="AK6" s="508"/>
      <c r="AL6" s="508"/>
      <c r="AM6" s="508"/>
      <c r="AN6" s="508"/>
      <c r="AO6" s="508"/>
      <c r="AP6" s="508"/>
      <c r="AQ6" s="508"/>
      <c r="AR6" s="508"/>
      <c r="AS6" s="508"/>
      <c r="AT6" s="508"/>
      <c r="AU6" s="508"/>
      <c r="AV6" s="508"/>
      <c r="AW6" s="508"/>
      <c r="AX6" s="508"/>
      <c r="AY6" s="508"/>
      <c r="AZ6" s="508"/>
      <c r="BA6" s="508"/>
      <c r="BB6" s="508"/>
      <c r="BC6" s="508"/>
      <c r="BD6" s="508"/>
      <c r="BE6" s="508"/>
      <c r="BF6" s="508"/>
      <c r="BG6" s="508"/>
      <c r="BH6" s="508"/>
      <c r="BI6" s="508"/>
      <c r="BJ6" s="508"/>
      <c r="BK6" s="508"/>
      <c r="BL6" s="508"/>
      <c r="BM6" s="508"/>
      <c r="BN6" s="508"/>
      <c r="BO6" s="508"/>
      <c r="BP6" s="508"/>
      <c r="BQ6" s="508"/>
      <c r="BR6" s="508"/>
      <c r="BS6" s="508"/>
      <c r="BT6" s="508"/>
      <c r="BU6" s="508"/>
      <c r="BV6" s="508"/>
      <c r="BW6" s="508"/>
      <c r="BX6" s="508"/>
      <c r="BY6" s="508"/>
      <c r="BZ6" s="508"/>
      <c r="CA6" s="508"/>
      <c r="CB6" s="508"/>
      <c r="CC6" s="508"/>
      <c r="CD6" s="508"/>
      <c r="CE6" s="508"/>
      <c r="CF6" s="508"/>
      <c r="CG6" s="508"/>
      <c r="CH6" s="508"/>
      <c r="CI6" s="508"/>
      <c r="CJ6" s="508"/>
      <c r="CK6" s="508"/>
      <c r="CL6" s="508"/>
      <c r="CM6" s="508"/>
      <c r="CN6" s="508"/>
      <c r="CO6" s="508"/>
      <c r="CP6" s="508"/>
      <c r="CQ6" s="508"/>
      <c r="CR6" s="508"/>
      <c r="CS6" s="508"/>
      <c r="CT6" s="508"/>
      <c r="CU6" s="508"/>
      <c r="CV6" s="508"/>
      <c r="CW6" s="508"/>
      <c r="CX6" s="508"/>
      <c r="CY6" s="508"/>
      <c r="CZ6" s="508"/>
      <c r="DA6" s="508"/>
      <c r="DB6" s="508"/>
      <c r="DC6" s="508"/>
      <c r="DD6" s="508"/>
      <c r="DE6" s="508"/>
      <c r="DF6" s="508"/>
      <c r="DG6" s="508"/>
      <c r="DH6" s="508"/>
      <c r="DI6" s="508"/>
      <c r="DJ6" s="508"/>
    </row>
    <row r="7" spans="1:114" ht="13.8" thickBot="1" x14ac:dyDescent="0.3">
      <c r="A7" s="199" t="s">
        <v>542</v>
      </c>
      <c r="B7" s="387"/>
      <c r="C7" s="387"/>
      <c r="D7" s="387"/>
      <c r="E7" s="387"/>
      <c r="F7" s="387"/>
      <c r="G7" s="387"/>
      <c r="H7" s="387"/>
      <c r="AB7" s="507"/>
      <c r="AC7" s="508"/>
      <c r="AD7" s="508"/>
      <c r="AE7" s="508"/>
      <c r="AF7" s="508"/>
      <c r="AG7" s="508"/>
      <c r="AH7" s="508"/>
      <c r="AI7" s="508"/>
      <c r="AJ7" s="508"/>
      <c r="AK7" s="508"/>
      <c r="AL7" s="508"/>
      <c r="AM7" s="508"/>
      <c r="AN7" s="508"/>
      <c r="AO7" s="508"/>
      <c r="AP7" s="508"/>
      <c r="AQ7" s="508"/>
      <c r="AR7" s="508"/>
      <c r="AS7" s="508"/>
      <c r="AT7" s="508"/>
      <c r="AU7" s="508"/>
      <c r="AV7" s="508"/>
      <c r="AW7" s="508"/>
      <c r="AX7" s="508"/>
      <c r="AY7" s="508"/>
      <c r="AZ7" s="508"/>
      <c r="BA7" s="508"/>
      <c r="BB7" s="508"/>
      <c r="BC7" s="508"/>
      <c r="BD7" s="508"/>
      <c r="BE7" s="508"/>
      <c r="BF7" s="508"/>
      <c r="BG7" s="508"/>
      <c r="BH7" s="508"/>
      <c r="BI7" s="508"/>
      <c r="BJ7" s="508"/>
      <c r="BK7" s="508"/>
      <c r="BL7" s="508"/>
      <c r="BM7" s="508"/>
      <c r="BN7" s="508"/>
      <c r="BO7" s="508"/>
      <c r="BP7" s="508"/>
      <c r="BQ7" s="508"/>
      <c r="BR7" s="508"/>
      <c r="BS7" s="508"/>
      <c r="BT7" s="508"/>
      <c r="BU7" s="508"/>
      <c r="BV7" s="508"/>
      <c r="BW7" s="508"/>
      <c r="BX7" s="508"/>
      <c r="BY7" s="508"/>
      <c r="BZ7" s="508"/>
      <c r="CA7" s="508"/>
      <c r="CB7" s="508"/>
      <c r="CC7" s="508"/>
      <c r="CD7" s="508"/>
      <c r="CE7" s="508"/>
      <c r="CF7" s="508"/>
      <c r="CG7" s="508"/>
      <c r="CH7" s="508"/>
      <c r="CI7" s="508"/>
      <c r="CJ7" s="508"/>
      <c r="CK7" s="508"/>
      <c r="CL7" s="508"/>
      <c r="CM7" s="508"/>
      <c r="CN7" s="508"/>
      <c r="CO7" s="508"/>
      <c r="CP7" s="508"/>
      <c r="CQ7" s="508"/>
      <c r="CR7" s="508"/>
      <c r="CS7" s="508"/>
      <c r="CT7" s="508"/>
      <c r="CU7" s="508"/>
      <c r="CV7" s="508"/>
      <c r="CW7" s="508"/>
      <c r="CX7" s="508"/>
      <c r="CY7" s="508"/>
      <c r="CZ7" s="508"/>
      <c r="DA7" s="508"/>
      <c r="DB7" s="508"/>
      <c r="DC7" s="508"/>
      <c r="DD7" s="508"/>
      <c r="DE7" s="508"/>
      <c r="DF7" s="508"/>
      <c r="DG7" s="508"/>
      <c r="DH7" s="508"/>
      <c r="DI7" s="508"/>
      <c r="DJ7" s="508"/>
    </row>
    <row r="8" spans="1:114" s="510" customFormat="1" ht="16.5" customHeight="1" thickBot="1" x14ac:dyDescent="0.3">
      <c r="A8" s="557"/>
      <c r="B8" s="558"/>
      <c r="C8" s="559" t="s">
        <v>519</v>
      </c>
      <c r="D8" s="559"/>
      <c r="E8" s="560"/>
      <c r="F8" s="560"/>
      <c r="G8" s="560"/>
      <c r="H8" s="559"/>
      <c r="I8" s="559"/>
      <c r="J8" s="560"/>
      <c r="K8" s="560"/>
      <c r="L8" s="561"/>
      <c r="M8" s="559" t="s">
        <v>519</v>
      </c>
      <c r="N8" s="559"/>
      <c r="O8" s="560"/>
      <c r="P8" s="561"/>
      <c r="Q8" s="560"/>
      <c r="R8" s="559"/>
      <c r="S8" s="559"/>
      <c r="T8" s="560"/>
      <c r="U8" s="560"/>
      <c r="V8" s="561"/>
      <c r="W8" s="559" t="s">
        <v>519</v>
      </c>
      <c r="X8" s="559"/>
      <c r="Y8" s="560"/>
      <c r="Z8" s="560"/>
      <c r="AA8" s="560"/>
      <c r="AB8" s="562"/>
      <c r="AC8" s="559"/>
      <c r="AD8" s="559"/>
      <c r="AE8" s="559"/>
      <c r="AF8" s="585"/>
      <c r="AG8" s="563"/>
      <c r="AH8" s="564"/>
    </row>
    <row r="9" spans="1:114" s="511" customFormat="1" ht="27" thickBot="1" x14ac:dyDescent="0.3">
      <c r="A9" s="553" t="s">
        <v>226</v>
      </c>
      <c r="B9" s="554" t="s">
        <v>520</v>
      </c>
      <c r="C9" s="545">
        <f t="array" ref="C9:AF9">TRANSPOSE(B10:B39)</f>
        <v>45688</v>
      </c>
      <c r="D9" s="546">
        <v>45657</v>
      </c>
      <c r="E9" s="546">
        <v>45626</v>
      </c>
      <c r="F9" s="546">
        <v>45596</v>
      </c>
      <c r="G9" s="546">
        <v>45565</v>
      </c>
      <c r="H9" s="546">
        <v>45535</v>
      </c>
      <c r="I9" s="546">
        <v>45504</v>
      </c>
      <c r="J9" s="546">
        <v>45473</v>
      </c>
      <c r="K9" s="546">
        <v>45443</v>
      </c>
      <c r="L9" s="546">
        <v>45412</v>
      </c>
      <c r="M9" s="546">
        <v>45382</v>
      </c>
      <c r="N9" s="546">
        <v>45351</v>
      </c>
      <c r="O9" s="547">
        <v>45322</v>
      </c>
      <c r="P9" s="546">
        <v>45291</v>
      </c>
      <c r="Q9" s="547">
        <v>45260</v>
      </c>
      <c r="R9" s="546">
        <v>45230</v>
      </c>
      <c r="S9" s="547">
        <v>45199</v>
      </c>
      <c r="T9" s="547">
        <v>45169</v>
      </c>
      <c r="U9" s="547">
        <v>45138</v>
      </c>
      <c r="V9" s="546">
        <v>45107</v>
      </c>
      <c r="W9" s="547">
        <v>45077</v>
      </c>
      <c r="X9" s="547">
        <v>45046</v>
      </c>
      <c r="Y9" s="547">
        <v>45016</v>
      </c>
      <c r="Z9" s="546">
        <v>44985</v>
      </c>
      <c r="AA9" s="547">
        <v>44957</v>
      </c>
      <c r="AB9" s="546">
        <v>44926</v>
      </c>
      <c r="AC9" s="547">
        <v>44895</v>
      </c>
      <c r="AD9" s="547">
        <v>44865</v>
      </c>
      <c r="AE9" s="546">
        <v>44834</v>
      </c>
      <c r="AF9" s="586">
        <v>44804</v>
      </c>
      <c r="AG9" s="544" t="s">
        <v>528</v>
      </c>
      <c r="AH9" s="548" t="s">
        <v>521</v>
      </c>
    </row>
    <row r="10" spans="1:114" s="511" customFormat="1" x14ac:dyDescent="0.25">
      <c r="A10" s="534">
        <v>1</v>
      </c>
      <c r="B10" s="578">
        <f>EOMONTH(B11,1)</f>
        <v>45688</v>
      </c>
      <c r="C10" s="522"/>
      <c r="D10" s="522">
        <v>1148.18</v>
      </c>
      <c r="E10" s="522">
        <v>51.01</v>
      </c>
      <c r="F10" s="522">
        <v>112.2</v>
      </c>
      <c r="G10" s="522">
        <v>218.88</v>
      </c>
      <c r="H10" s="522">
        <v>0</v>
      </c>
      <c r="I10" s="522">
        <v>56.1</v>
      </c>
      <c r="J10" s="522">
        <v>0</v>
      </c>
      <c r="K10" s="522">
        <v>-218.8</v>
      </c>
      <c r="L10" s="522">
        <v>-9809.17</v>
      </c>
      <c r="M10" s="522">
        <v>0</v>
      </c>
      <c r="N10" s="522">
        <v>0</v>
      </c>
      <c r="O10" s="522">
        <v>0</v>
      </c>
      <c r="P10" s="522">
        <v>0</v>
      </c>
      <c r="Q10" s="522">
        <v>0</v>
      </c>
      <c r="R10" s="522">
        <v>0</v>
      </c>
      <c r="S10" s="522">
        <v>0</v>
      </c>
      <c r="T10" s="522">
        <v>0</v>
      </c>
      <c r="U10" s="522">
        <v>0</v>
      </c>
      <c r="V10" s="522">
        <v>0</v>
      </c>
      <c r="W10" s="522">
        <v>0</v>
      </c>
      <c r="X10" s="522"/>
      <c r="Y10" s="522"/>
      <c r="Z10" s="522"/>
      <c r="AA10" s="522"/>
      <c r="AB10" s="522"/>
      <c r="AC10" s="522"/>
      <c r="AD10" s="522"/>
      <c r="AE10" s="522"/>
      <c r="AF10" s="572"/>
      <c r="AG10" s="571">
        <v>0</v>
      </c>
      <c r="AH10" s="533">
        <f t="shared" ref="AH10:AH38" si="0">SUM(C10:AG10)</f>
        <v>-8441.6</v>
      </c>
    </row>
    <row r="11" spans="1:114" s="511" customFormat="1" x14ac:dyDescent="0.25">
      <c r="A11" s="534">
        <v>2</v>
      </c>
      <c r="B11" s="535">
        <f>'Schedule 2_Balance Sheet'!C4</f>
        <v>45657</v>
      </c>
      <c r="C11" s="551"/>
      <c r="D11" s="584">
        <v>2672.73</v>
      </c>
      <c r="E11" s="584">
        <v>515.55999999999995</v>
      </c>
      <c r="F11" s="584">
        <v>145.72</v>
      </c>
      <c r="G11" s="584">
        <v>71.75</v>
      </c>
      <c r="H11" s="584">
        <v>0</v>
      </c>
      <c r="I11" s="584">
        <v>0</v>
      </c>
      <c r="J11" s="584">
        <v>1264.71</v>
      </c>
      <c r="K11" s="584">
        <v>101.49</v>
      </c>
      <c r="L11" s="584">
        <v>-2677.45</v>
      </c>
      <c r="M11" s="584">
        <v>0</v>
      </c>
      <c r="N11" s="584">
        <v>0</v>
      </c>
      <c r="O11" s="584">
        <v>0</v>
      </c>
      <c r="P11" s="584">
        <v>0</v>
      </c>
      <c r="Q11" s="584">
        <v>0</v>
      </c>
      <c r="R11" s="584">
        <v>0</v>
      </c>
      <c r="S11" s="584">
        <v>0</v>
      </c>
      <c r="T11" s="584">
        <v>0</v>
      </c>
      <c r="U11" s="584">
        <v>0</v>
      </c>
      <c r="V11" s="584">
        <v>0</v>
      </c>
      <c r="W11" s="584">
        <v>0</v>
      </c>
      <c r="X11" s="584"/>
      <c r="Y11" s="584"/>
      <c r="Z11" s="584"/>
      <c r="AA11" s="584"/>
      <c r="AB11" s="584"/>
      <c r="AC11" s="584"/>
      <c r="AD11" s="584"/>
      <c r="AE11" s="584"/>
      <c r="AF11" s="573"/>
      <c r="AG11" s="569">
        <v>0</v>
      </c>
      <c r="AH11" s="533">
        <f t="shared" si="0"/>
        <v>2094.5099999999993</v>
      </c>
    </row>
    <row r="12" spans="1:114" s="510" customFormat="1" ht="15" customHeight="1" x14ac:dyDescent="0.25">
      <c r="A12" s="534">
        <v>3</v>
      </c>
      <c r="B12" s="535">
        <f>EOMONTH(B11,-1)</f>
        <v>45626</v>
      </c>
      <c r="C12" s="551"/>
      <c r="D12" s="551">
        <v>0</v>
      </c>
      <c r="E12" s="523">
        <v>3185.83</v>
      </c>
      <c r="F12" s="523">
        <v>2888.8</v>
      </c>
      <c r="G12" s="523">
        <v>188.36</v>
      </c>
      <c r="H12" s="523">
        <v>12.92</v>
      </c>
      <c r="I12" s="523">
        <v>0</v>
      </c>
      <c r="J12" s="523">
        <v>69.02</v>
      </c>
      <c r="K12" s="523">
        <v>39.22</v>
      </c>
      <c r="L12" s="523">
        <v>-3008.92</v>
      </c>
      <c r="M12" s="523">
        <v>0</v>
      </c>
      <c r="N12" s="523">
        <v>0</v>
      </c>
      <c r="O12" s="523">
        <v>0</v>
      </c>
      <c r="P12" s="523">
        <v>0</v>
      </c>
      <c r="Q12" s="523">
        <v>0</v>
      </c>
      <c r="R12" s="523">
        <v>0</v>
      </c>
      <c r="S12" s="523">
        <v>0</v>
      </c>
      <c r="T12" s="523">
        <v>0</v>
      </c>
      <c r="U12" s="523">
        <v>0</v>
      </c>
      <c r="V12" s="523">
        <v>0</v>
      </c>
      <c r="W12" s="523">
        <v>0</v>
      </c>
      <c r="X12" s="523"/>
      <c r="Y12" s="523"/>
      <c r="Z12" s="523"/>
      <c r="AA12" s="523"/>
      <c r="AB12" s="523"/>
      <c r="AC12" s="523"/>
      <c r="AD12" s="523"/>
      <c r="AE12" s="523"/>
      <c r="AF12" s="565"/>
      <c r="AG12" s="569">
        <v>0</v>
      </c>
      <c r="AH12" s="533">
        <f t="shared" si="0"/>
        <v>3375.2300000000005</v>
      </c>
    </row>
    <row r="13" spans="1:114" s="510" customFormat="1" ht="15" customHeight="1" x14ac:dyDescent="0.25">
      <c r="A13" s="534">
        <v>4</v>
      </c>
      <c r="B13" s="535">
        <f t="shared" ref="B13:B39" si="1">EOMONTH(B12,-1)</f>
        <v>45596</v>
      </c>
      <c r="C13" s="551"/>
      <c r="D13" s="549">
        <v>0</v>
      </c>
      <c r="E13" s="551">
        <v>0</v>
      </c>
      <c r="F13" s="523">
        <v>3833.49</v>
      </c>
      <c r="G13" s="523">
        <v>369.47</v>
      </c>
      <c r="H13" s="523">
        <v>0</v>
      </c>
      <c r="I13" s="523">
        <v>2.0699999999999998</v>
      </c>
      <c r="J13" s="523">
        <v>0</v>
      </c>
      <c r="K13" s="523">
        <v>127.65</v>
      </c>
      <c r="L13" s="523">
        <v>-39.01</v>
      </c>
      <c r="M13" s="523">
        <v>0</v>
      </c>
      <c r="N13" s="523">
        <v>0</v>
      </c>
      <c r="O13" s="523">
        <v>214.26</v>
      </c>
      <c r="P13" s="523">
        <v>0</v>
      </c>
      <c r="Q13" s="523">
        <v>0</v>
      </c>
      <c r="R13" s="523">
        <v>0</v>
      </c>
      <c r="S13" s="524">
        <v>0</v>
      </c>
      <c r="T13" s="524">
        <v>0</v>
      </c>
      <c r="U13" s="524">
        <v>0</v>
      </c>
      <c r="V13" s="523">
        <v>0</v>
      </c>
      <c r="W13" s="523">
        <v>0</v>
      </c>
      <c r="X13" s="524"/>
      <c r="Y13" s="524"/>
      <c r="Z13" s="523"/>
      <c r="AA13" s="523"/>
      <c r="AB13" s="523"/>
      <c r="AC13" s="523"/>
      <c r="AD13" s="523"/>
      <c r="AE13" s="523"/>
      <c r="AF13" s="565"/>
      <c r="AG13" s="567">
        <v>0</v>
      </c>
      <c r="AH13" s="533">
        <f t="shared" si="0"/>
        <v>4507.9299999999994</v>
      </c>
    </row>
    <row r="14" spans="1:114" s="510" customFormat="1" ht="15" customHeight="1" x14ac:dyDescent="0.25">
      <c r="A14" s="534">
        <v>5</v>
      </c>
      <c r="B14" s="535">
        <f t="shared" si="1"/>
        <v>45565</v>
      </c>
      <c r="C14" s="551"/>
      <c r="D14" s="549">
        <v>0</v>
      </c>
      <c r="E14" s="549">
        <v>0</v>
      </c>
      <c r="F14" s="551">
        <v>0</v>
      </c>
      <c r="G14" s="523">
        <v>1621.43</v>
      </c>
      <c r="H14" s="523">
        <v>185.98</v>
      </c>
      <c r="I14" s="523">
        <v>192.93</v>
      </c>
      <c r="J14" s="523">
        <v>0</v>
      </c>
      <c r="K14" s="523">
        <v>248.81</v>
      </c>
      <c r="L14" s="523">
        <v>158.16</v>
      </c>
      <c r="M14" s="523">
        <v>0</v>
      </c>
      <c r="N14" s="523">
        <v>0</v>
      </c>
      <c r="O14" s="523">
        <v>0</v>
      </c>
      <c r="P14" s="523">
        <v>0</v>
      </c>
      <c r="Q14" s="523">
        <v>0</v>
      </c>
      <c r="R14" s="523">
        <v>0</v>
      </c>
      <c r="S14" s="524">
        <v>0</v>
      </c>
      <c r="T14" s="524">
        <v>0</v>
      </c>
      <c r="U14" s="524">
        <v>0</v>
      </c>
      <c r="V14" s="523">
        <v>0</v>
      </c>
      <c r="W14" s="523">
        <v>0</v>
      </c>
      <c r="X14" s="524"/>
      <c r="Y14" s="524"/>
      <c r="Z14" s="523"/>
      <c r="AA14" s="523"/>
      <c r="AB14" s="523"/>
      <c r="AC14" s="523"/>
      <c r="AD14" s="523"/>
      <c r="AE14" s="523"/>
      <c r="AF14" s="565"/>
      <c r="AG14" s="568">
        <v>0</v>
      </c>
      <c r="AH14" s="533">
        <f t="shared" si="0"/>
        <v>2407.31</v>
      </c>
    </row>
    <row r="15" spans="1:114" s="510" customFormat="1" ht="15" customHeight="1" x14ac:dyDescent="0.25">
      <c r="A15" s="534">
        <v>6</v>
      </c>
      <c r="B15" s="535">
        <f t="shared" si="1"/>
        <v>45535</v>
      </c>
      <c r="C15" s="551"/>
      <c r="D15" s="549">
        <v>0</v>
      </c>
      <c r="E15" s="549">
        <v>0</v>
      </c>
      <c r="F15" s="549">
        <v>0</v>
      </c>
      <c r="G15" s="551">
        <v>0</v>
      </c>
      <c r="H15" s="523">
        <v>1917.29</v>
      </c>
      <c r="I15" s="523">
        <v>942.33</v>
      </c>
      <c r="J15" s="523">
        <v>176.11</v>
      </c>
      <c r="K15" s="523">
        <v>3580.75</v>
      </c>
      <c r="L15" s="523">
        <v>2483.1</v>
      </c>
      <c r="M15" s="523">
        <v>0</v>
      </c>
      <c r="N15" s="523">
        <v>0</v>
      </c>
      <c r="O15" s="523">
        <v>0</v>
      </c>
      <c r="P15" s="523">
        <v>0</v>
      </c>
      <c r="Q15" s="523">
        <v>0</v>
      </c>
      <c r="R15" s="523">
        <v>0</v>
      </c>
      <c r="S15" s="524">
        <v>0</v>
      </c>
      <c r="T15" s="524">
        <v>0</v>
      </c>
      <c r="U15" s="524">
        <v>0</v>
      </c>
      <c r="V15" s="523">
        <v>0</v>
      </c>
      <c r="W15" s="523">
        <v>0</v>
      </c>
      <c r="X15" s="524"/>
      <c r="Y15" s="524"/>
      <c r="Z15" s="523"/>
      <c r="AA15" s="523"/>
      <c r="AB15" s="523"/>
      <c r="AC15" s="523"/>
      <c r="AD15" s="523"/>
      <c r="AE15" s="523"/>
      <c r="AF15" s="565"/>
      <c r="AG15" s="568">
        <v>0</v>
      </c>
      <c r="AH15" s="533">
        <f t="shared" si="0"/>
        <v>9099.58</v>
      </c>
    </row>
    <row r="16" spans="1:114" s="510" customFormat="1" ht="15" customHeight="1" x14ac:dyDescent="0.25">
      <c r="A16" s="534">
        <v>7</v>
      </c>
      <c r="B16" s="535">
        <f t="shared" si="1"/>
        <v>45504</v>
      </c>
      <c r="C16" s="551"/>
      <c r="D16" s="549">
        <v>0</v>
      </c>
      <c r="E16" s="549">
        <v>0</v>
      </c>
      <c r="F16" s="552">
        <v>0</v>
      </c>
      <c r="G16" s="549">
        <v>0</v>
      </c>
      <c r="H16" s="551">
        <v>0</v>
      </c>
      <c r="I16" s="523">
        <v>2678.96</v>
      </c>
      <c r="J16" s="523">
        <v>674.6</v>
      </c>
      <c r="K16" s="523">
        <v>4847.01</v>
      </c>
      <c r="L16" s="523">
        <v>820.67</v>
      </c>
      <c r="M16" s="523">
        <v>15.95</v>
      </c>
      <c r="N16" s="523">
        <v>0</v>
      </c>
      <c r="O16" s="523">
        <v>0</v>
      </c>
      <c r="P16" s="523">
        <v>0</v>
      </c>
      <c r="Q16" s="523">
        <v>0</v>
      </c>
      <c r="R16" s="523">
        <v>71.83</v>
      </c>
      <c r="S16" s="524">
        <v>0</v>
      </c>
      <c r="T16" s="524">
        <v>0</v>
      </c>
      <c r="U16" s="524">
        <v>0</v>
      </c>
      <c r="V16" s="523">
        <v>0</v>
      </c>
      <c r="W16" s="523">
        <v>0</v>
      </c>
      <c r="X16" s="524"/>
      <c r="Y16" s="524"/>
      <c r="Z16" s="523"/>
      <c r="AA16" s="523"/>
      <c r="AB16" s="523"/>
      <c r="AC16" s="523"/>
      <c r="AD16" s="523"/>
      <c r="AE16" s="523"/>
      <c r="AF16" s="565"/>
      <c r="AG16" s="568">
        <v>0</v>
      </c>
      <c r="AH16" s="533">
        <f t="shared" si="0"/>
        <v>9109.02</v>
      </c>
    </row>
    <row r="17" spans="1:34" s="510" customFormat="1" ht="15" customHeight="1" x14ac:dyDescent="0.25">
      <c r="A17" s="534">
        <v>8</v>
      </c>
      <c r="B17" s="535">
        <f t="shared" si="1"/>
        <v>45473</v>
      </c>
      <c r="C17" s="551"/>
      <c r="D17" s="549">
        <v>0</v>
      </c>
      <c r="E17" s="549">
        <v>0</v>
      </c>
      <c r="F17" s="549">
        <v>0</v>
      </c>
      <c r="G17" s="549">
        <v>0</v>
      </c>
      <c r="H17" s="549">
        <v>0</v>
      </c>
      <c r="I17" s="551">
        <v>0</v>
      </c>
      <c r="J17" s="523">
        <v>1079.71</v>
      </c>
      <c r="K17" s="523">
        <v>34.270000000000003</v>
      </c>
      <c r="L17" s="523">
        <v>-507.47</v>
      </c>
      <c r="M17" s="523">
        <v>0</v>
      </c>
      <c r="N17" s="523">
        <v>0</v>
      </c>
      <c r="O17" s="523">
        <v>6.94</v>
      </c>
      <c r="P17" s="523">
        <v>0</v>
      </c>
      <c r="Q17" s="523">
        <v>0</v>
      </c>
      <c r="R17" s="523">
        <v>0</v>
      </c>
      <c r="S17" s="524">
        <v>0</v>
      </c>
      <c r="T17" s="524">
        <v>0</v>
      </c>
      <c r="U17" s="524">
        <v>0</v>
      </c>
      <c r="V17" s="523">
        <v>0</v>
      </c>
      <c r="W17" s="523">
        <v>0</v>
      </c>
      <c r="X17" s="524"/>
      <c r="Y17" s="524"/>
      <c r="Z17" s="523"/>
      <c r="AA17" s="523"/>
      <c r="AB17" s="523"/>
      <c r="AC17" s="523"/>
      <c r="AD17" s="523"/>
      <c r="AE17" s="523"/>
      <c r="AF17" s="565"/>
      <c r="AG17" s="568">
        <v>0</v>
      </c>
      <c r="AH17" s="533">
        <f t="shared" si="0"/>
        <v>613.45000000000005</v>
      </c>
    </row>
    <row r="18" spans="1:34" s="510" customFormat="1" ht="15" customHeight="1" x14ac:dyDescent="0.25">
      <c r="A18" s="534">
        <v>9</v>
      </c>
      <c r="B18" s="535">
        <f t="shared" si="1"/>
        <v>45443</v>
      </c>
      <c r="C18" s="551"/>
      <c r="D18" s="549">
        <v>0</v>
      </c>
      <c r="E18" s="549">
        <v>0</v>
      </c>
      <c r="F18" s="549">
        <v>0</v>
      </c>
      <c r="G18" s="549">
        <v>0</v>
      </c>
      <c r="H18" s="549">
        <v>0</v>
      </c>
      <c r="I18" s="549">
        <v>0</v>
      </c>
      <c r="J18" s="551">
        <v>0</v>
      </c>
      <c r="K18" s="523">
        <v>5558.36</v>
      </c>
      <c r="L18" s="523">
        <v>106824.36</v>
      </c>
      <c r="M18" s="523">
        <v>19.88</v>
      </c>
      <c r="N18" s="523">
        <v>49.21</v>
      </c>
      <c r="O18" s="523">
        <v>102.57</v>
      </c>
      <c r="P18" s="523">
        <v>0</v>
      </c>
      <c r="Q18" s="523">
        <v>0</v>
      </c>
      <c r="R18" s="523">
        <v>0</v>
      </c>
      <c r="S18" s="524">
        <v>0</v>
      </c>
      <c r="T18" s="524">
        <v>0</v>
      </c>
      <c r="U18" s="524">
        <v>0</v>
      </c>
      <c r="V18" s="523">
        <v>0</v>
      </c>
      <c r="W18" s="523">
        <v>0</v>
      </c>
      <c r="X18" s="524"/>
      <c r="Y18" s="524"/>
      <c r="Z18" s="523"/>
      <c r="AA18" s="523"/>
      <c r="AB18" s="523"/>
      <c r="AC18" s="523"/>
      <c r="AD18" s="523"/>
      <c r="AE18" s="523"/>
      <c r="AF18" s="565"/>
      <c r="AG18" s="568">
        <v>0</v>
      </c>
      <c r="AH18" s="533">
        <f t="shared" si="0"/>
        <v>112554.38000000002</v>
      </c>
    </row>
    <row r="19" spans="1:34" s="510" customFormat="1" ht="15" customHeight="1" x14ac:dyDescent="0.25">
      <c r="A19" s="534">
        <v>10</v>
      </c>
      <c r="B19" s="535">
        <f t="shared" si="1"/>
        <v>45412</v>
      </c>
      <c r="C19" s="551"/>
      <c r="D19" s="549">
        <v>0</v>
      </c>
      <c r="E19" s="549">
        <v>0</v>
      </c>
      <c r="F19" s="549">
        <v>0</v>
      </c>
      <c r="G19" s="549">
        <v>0</v>
      </c>
      <c r="H19" s="549">
        <v>0</v>
      </c>
      <c r="I19" s="549">
        <v>0</v>
      </c>
      <c r="J19" s="549">
        <v>0</v>
      </c>
      <c r="K19" s="551">
        <v>0</v>
      </c>
      <c r="L19" s="523">
        <v>189119.06</v>
      </c>
      <c r="M19" s="523">
        <v>0</v>
      </c>
      <c r="N19" s="523">
        <v>258.64</v>
      </c>
      <c r="O19" s="523">
        <v>285.29000000000002</v>
      </c>
      <c r="P19" s="523">
        <v>0</v>
      </c>
      <c r="Q19" s="523">
        <v>0.37</v>
      </c>
      <c r="R19" s="523">
        <v>200.32</v>
      </c>
      <c r="S19" s="524">
        <v>0</v>
      </c>
      <c r="T19" s="524">
        <v>0</v>
      </c>
      <c r="U19" s="524">
        <v>0</v>
      </c>
      <c r="V19" s="523">
        <v>0</v>
      </c>
      <c r="W19" s="523">
        <v>0</v>
      </c>
      <c r="X19" s="524"/>
      <c r="Y19" s="524"/>
      <c r="Z19" s="523"/>
      <c r="AA19" s="523"/>
      <c r="AB19" s="523"/>
      <c r="AC19" s="523"/>
      <c r="AD19" s="523"/>
      <c r="AE19" s="523"/>
      <c r="AF19" s="565"/>
      <c r="AG19" s="568">
        <v>0</v>
      </c>
      <c r="AH19" s="533">
        <f t="shared" si="0"/>
        <v>189863.68000000002</v>
      </c>
    </row>
    <row r="20" spans="1:34" s="510" customFormat="1" ht="15" customHeight="1" x14ac:dyDescent="0.25">
      <c r="A20" s="534">
        <v>11</v>
      </c>
      <c r="B20" s="535">
        <f t="shared" si="1"/>
        <v>45382</v>
      </c>
      <c r="C20" s="551"/>
      <c r="D20" s="549">
        <v>0</v>
      </c>
      <c r="E20" s="549">
        <v>0</v>
      </c>
      <c r="F20" s="549">
        <v>0</v>
      </c>
      <c r="G20" s="549">
        <v>0</v>
      </c>
      <c r="H20" s="549">
        <v>0</v>
      </c>
      <c r="I20" s="549">
        <v>0</v>
      </c>
      <c r="J20" s="549">
        <v>0</v>
      </c>
      <c r="K20" s="549">
        <v>0</v>
      </c>
      <c r="L20" s="551">
        <v>0</v>
      </c>
      <c r="M20" s="523">
        <v>8.08</v>
      </c>
      <c r="N20" s="523">
        <v>74.91</v>
      </c>
      <c r="O20" s="523">
        <v>470.49</v>
      </c>
      <c r="P20" s="523">
        <v>0</v>
      </c>
      <c r="Q20" s="523">
        <v>16.489999999999998</v>
      </c>
      <c r="R20" s="523">
        <v>0</v>
      </c>
      <c r="S20" s="524">
        <v>0</v>
      </c>
      <c r="T20" s="524">
        <v>0</v>
      </c>
      <c r="U20" s="524">
        <v>0</v>
      </c>
      <c r="V20" s="523">
        <v>0</v>
      </c>
      <c r="W20" s="523">
        <v>0</v>
      </c>
      <c r="X20" s="524"/>
      <c r="Y20" s="524"/>
      <c r="Z20" s="523"/>
      <c r="AA20" s="523"/>
      <c r="AB20" s="523"/>
      <c r="AC20" s="523"/>
      <c r="AD20" s="523"/>
      <c r="AE20" s="523"/>
      <c r="AF20" s="565"/>
      <c r="AG20" s="568">
        <v>0</v>
      </c>
      <c r="AH20" s="533">
        <f t="shared" si="0"/>
        <v>569.97</v>
      </c>
    </row>
    <row r="21" spans="1:34" s="510" customFormat="1" ht="15" customHeight="1" x14ac:dyDescent="0.25">
      <c r="A21" s="534">
        <v>12</v>
      </c>
      <c r="B21" s="535">
        <f t="shared" si="1"/>
        <v>45351</v>
      </c>
      <c r="C21" s="551"/>
      <c r="D21" s="549">
        <v>0</v>
      </c>
      <c r="E21" s="549">
        <v>0</v>
      </c>
      <c r="F21" s="549">
        <v>0</v>
      </c>
      <c r="G21" s="549">
        <v>0</v>
      </c>
      <c r="H21" s="549">
        <v>0</v>
      </c>
      <c r="I21" s="549">
        <v>0</v>
      </c>
      <c r="J21" s="549">
        <v>0</v>
      </c>
      <c r="K21" s="549">
        <v>0</v>
      </c>
      <c r="L21" s="549">
        <v>0</v>
      </c>
      <c r="M21" s="551">
        <v>0</v>
      </c>
      <c r="N21" s="523">
        <v>0</v>
      </c>
      <c r="O21" s="523">
        <v>194.03</v>
      </c>
      <c r="P21" s="523">
        <v>0</v>
      </c>
      <c r="Q21" s="523">
        <v>954.49</v>
      </c>
      <c r="R21" s="523">
        <v>1472.26</v>
      </c>
      <c r="S21" s="524">
        <v>104.35</v>
      </c>
      <c r="T21" s="524">
        <v>0</v>
      </c>
      <c r="U21" s="524">
        <v>0</v>
      </c>
      <c r="V21" s="523">
        <v>0</v>
      </c>
      <c r="W21" s="523">
        <v>0</v>
      </c>
      <c r="X21" s="524"/>
      <c r="Y21" s="524"/>
      <c r="Z21" s="523"/>
      <c r="AA21" s="523"/>
      <c r="AB21" s="523"/>
      <c r="AC21" s="523"/>
      <c r="AD21" s="523"/>
      <c r="AE21" s="523"/>
      <c r="AF21" s="565"/>
      <c r="AG21" s="568">
        <v>0</v>
      </c>
      <c r="AH21" s="533">
        <f t="shared" si="0"/>
        <v>2725.1299999999997</v>
      </c>
    </row>
    <row r="22" spans="1:34" s="510" customFormat="1" ht="15" customHeight="1" x14ac:dyDescent="0.25">
      <c r="A22" s="534">
        <v>13</v>
      </c>
      <c r="B22" s="535">
        <f t="shared" si="1"/>
        <v>45322</v>
      </c>
      <c r="C22" s="551"/>
      <c r="D22" s="549">
        <v>0</v>
      </c>
      <c r="E22" s="549">
        <v>0</v>
      </c>
      <c r="F22" s="549">
        <v>0</v>
      </c>
      <c r="G22" s="549">
        <v>0</v>
      </c>
      <c r="H22" s="549">
        <v>0</v>
      </c>
      <c r="I22" s="549">
        <v>0</v>
      </c>
      <c r="J22" s="549">
        <v>0</v>
      </c>
      <c r="K22" s="549">
        <v>0</v>
      </c>
      <c r="L22" s="549">
        <v>0</v>
      </c>
      <c r="M22" s="549">
        <v>0</v>
      </c>
      <c r="N22" s="551">
        <v>0</v>
      </c>
      <c r="O22" s="523">
        <v>0</v>
      </c>
      <c r="P22" s="523">
        <v>11.26</v>
      </c>
      <c r="Q22" s="523">
        <v>0</v>
      </c>
      <c r="R22" s="523">
        <v>0</v>
      </c>
      <c r="S22" s="524">
        <v>204.51</v>
      </c>
      <c r="T22" s="524">
        <v>0</v>
      </c>
      <c r="U22" s="524">
        <v>0</v>
      </c>
      <c r="V22" s="523">
        <v>0</v>
      </c>
      <c r="W22" s="523">
        <v>0</v>
      </c>
      <c r="X22" s="524"/>
      <c r="Y22" s="524"/>
      <c r="Z22" s="523"/>
      <c r="AA22" s="523"/>
      <c r="AB22" s="523"/>
      <c r="AC22" s="523"/>
      <c r="AD22" s="523"/>
      <c r="AE22" s="523"/>
      <c r="AF22" s="565"/>
      <c r="AG22" s="568">
        <v>0</v>
      </c>
      <c r="AH22" s="533">
        <f t="shared" si="0"/>
        <v>215.76999999999998</v>
      </c>
    </row>
    <row r="23" spans="1:34" s="510" customFormat="1" ht="15" customHeight="1" x14ac:dyDescent="0.25">
      <c r="A23" s="534">
        <v>14</v>
      </c>
      <c r="B23" s="535">
        <f t="shared" si="1"/>
        <v>45291</v>
      </c>
      <c r="C23" s="551"/>
      <c r="D23" s="549">
        <v>0</v>
      </c>
      <c r="E23" s="549">
        <v>0</v>
      </c>
      <c r="F23" s="549">
        <v>0</v>
      </c>
      <c r="G23" s="549">
        <v>0</v>
      </c>
      <c r="H23" s="549">
        <v>0</v>
      </c>
      <c r="I23" s="549">
        <v>0</v>
      </c>
      <c r="J23" s="549">
        <v>0</v>
      </c>
      <c r="K23" s="549">
        <v>0</v>
      </c>
      <c r="L23" s="549">
        <v>0</v>
      </c>
      <c r="M23" s="549">
        <v>0</v>
      </c>
      <c r="N23" s="549">
        <v>0</v>
      </c>
      <c r="O23" s="551">
        <v>0</v>
      </c>
      <c r="P23" s="523">
        <v>30</v>
      </c>
      <c r="Q23" s="523">
        <v>40.17</v>
      </c>
      <c r="R23" s="523">
        <v>25.23</v>
      </c>
      <c r="S23" s="524">
        <v>163.38999999999999</v>
      </c>
      <c r="T23" s="524">
        <v>-9.17</v>
      </c>
      <c r="U23" s="524">
        <v>0</v>
      </c>
      <c r="V23" s="523">
        <v>0</v>
      </c>
      <c r="W23" s="523">
        <v>0</v>
      </c>
      <c r="X23" s="524"/>
      <c r="Y23" s="524"/>
      <c r="Z23" s="523"/>
      <c r="AA23" s="523"/>
      <c r="AB23" s="523"/>
      <c r="AC23" s="523"/>
      <c r="AD23" s="523"/>
      <c r="AE23" s="523"/>
      <c r="AF23" s="565"/>
      <c r="AG23" s="568">
        <v>44.95</v>
      </c>
      <c r="AH23" s="533">
        <f t="shared" si="0"/>
        <v>294.57</v>
      </c>
    </row>
    <row r="24" spans="1:34" s="510" customFormat="1" ht="15" customHeight="1" x14ac:dyDescent="0.25">
      <c r="A24" s="534">
        <v>15</v>
      </c>
      <c r="B24" s="535">
        <f t="shared" si="1"/>
        <v>45260</v>
      </c>
      <c r="C24" s="551"/>
      <c r="D24" s="549">
        <v>0</v>
      </c>
      <c r="E24" s="549">
        <v>0</v>
      </c>
      <c r="F24" s="549">
        <v>0</v>
      </c>
      <c r="G24" s="549">
        <v>0</v>
      </c>
      <c r="H24" s="549">
        <v>0</v>
      </c>
      <c r="I24" s="549">
        <v>0</v>
      </c>
      <c r="J24" s="549">
        <v>0</v>
      </c>
      <c r="K24" s="549">
        <v>0</v>
      </c>
      <c r="L24" s="549">
        <v>0</v>
      </c>
      <c r="M24" s="549">
        <v>0</v>
      </c>
      <c r="N24" s="549">
        <v>0</v>
      </c>
      <c r="O24" s="551">
        <v>0</v>
      </c>
      <c r="P24" s="551">
        <v>0</v>
      </c>
      <c r="Q24" s="523">
        <v>48.5</v>
      </c>
      <c r="R24" s="523">
        <v>462.72</v>
      </c>
      <c r="S24" s="524">
        <v>8.0299999999999994</v>
      </c>
      <c r="T24" s="524">
        <v>8.0299999999999994</v>
      </c>
      <c r="U24" s="524">
        <v>0</v>
      </c>
      <c r="V24" s="523">
        <v>0</v>
      </c>
      <c r="W24" s="523">
        <v>0</v>
      </c>
      <c r="X24" s="524"/>
      <c r="Y24" s="524"/>
      <c r="Z24" s="523"/>
      <c r="AA24" s="523"/>
      <c r="AB24" s="523"/>
      <c r="AC24" s="523"/>
      <c r="AD24" s="523"/>
      <c r="AE24" s="523"/>
      <c r="AF24" s="565"/>
      <c r="AG24" s="568">
        <v>89.960000000000008</v>
      </c>
      <c r="AH24" s="533">
        <f t="shared" si="0"/>
        <v>617.24</v>
      </c>
    </row>
    <row r="25" spans="1:34" s="510" customFormat="1" ht="15" customHeight="1" x14ac:dyDescent="0.25">
      <c r="A25" s="534">
        <v>16</v>
      </c>
      <c r="B25" s="535">
        <f t="shared" si="1"/>
        <v>45230</v>
      </c>
      <c r="C25" s="551"/>
      <c r="D25" s="549">
        <v>0</v>
      </c>
      <c r="E25" s="549">
        <v>0</v>
      </c>
      <c r="F25" s="549">
        <v>0</v>
      </c>
      <c r="G25" s="549">
        <v>0</v>
      </c>
      <c r="H25" s="549">
        <v>0</v>
      </c>
      <c r="I25" s="549">
        <v>0</v>
      </c>
      <c r="J25" s="549">
        <v>0</v>
      </c>
      <c r="K25" s="549">
        <v>0</v>
      </c>
      <c r="L25" s="549">
        <v>0</v>
      </c>
      <c r="M25" s="549">
        <v>0</v>
      </c>
      <c r="N25" s="549">
        <v>0</v>
      </c>
      <c r="O25" s="550">
        <v>0</v>
      </c>
      <c r="P25" s="549">
        <v>0</v>
      </c>
      <c r="Q25" s="551">
        <v>0</v>
      </c>
      <c r="R25" s="523">
        <v>49.75</v>
      </c>
      <c r="S25" s="524">
        <v>89.4</v>
      </c>
      <c r="T25" s="524">
        <v>0</v>
      </c>
      <c r="U25" s="524">
        <v>83.5</v>
      </c>
      <c r="V25" s="523">
        <v>0</v>
      </c>
      <c r="W25" s="523">
        <v>0</v>
      </c>
      <c r="X25" s="524"/>
      <c r="Y25" s="524"/>
      <c r="Z25" s="523"/>
      <c r="AA25" s="523"/>
      <c r="AB25" s="523"/>
      <c r="AC25" s="523"/>
      <c r="AD25" s="523"/>
      <c r="AE25" s="523"/>
      <c r="AF25" s="565"/>
      <c r="AG25" s="568">
        <v>0</v>
      </c>
      <c r="AH25" s="533">
        <f t="shared" si="0"/>
        <v>222.65</v>
      </c>
    </row>
    <row r="26" spans="1:34" s="510" customFormat="1" ht="15" customHeight="1" x14ac:dyDescent="0.25">
      <c r="A26" s="534">
        <v>17</v>
      </c>
      <c r="B26" s="535">
        <f t="shared" si="1"/>
        <v>45199</v>
      </c>
      <c r="C26" s="551"/>
      <c r="D26" s="549">
        <v>0</v>
      </c>
      <c r="E26" s="549">
        <v>0</v>
      </c>
      <c r="F26" s="549">
        <v>0</v>
      </c>
      <c r="G26" s="549">
        <v>0</v>
      </c>
      <c r="H26" s="549">
        <v>0</v>
      </c>
      <c r="I26" s="549">
        <v>0</v>
      </c>
      <c r="J26" s="549">
        <v>0</v>
      </c>
      <c r="K26" s="549">
        <v>0</v>
      </c>
      <c r="L26" s="549">
        <v>0</v>
      </c>
      <c r="M26" s="549">
        <v>0</v>
      </c>
      <c r="N26" s="549">
        <v>0</v>
      </c>
      <c r="O26" s="550">
        <v>0</v>
      </c>
      <c r="P26" s="549">
        <v>0</v>
      </c>
      <c r="Q26" s="549">
        <v>0</v>
      </c>
      <c r="R26" s="551">
        <v>0</v>
      </c>
      <c r="S26" s="524">
        <v>1.51</v>
      </c>
      <c r="T26" s="524">
        <v>5.9</v>
      </c>
      <c r="U26" s="524">
        <v>88.66</v>
      </c>
      <c r="V26" s="523">
        <v>0</v>
      </c>
      <c r="W26" s="523">
        <v>0</v>
      </c>
      <c r="X26" s="524"/>
      <c r="Y26" s="524"/>
      <c r="Z26" s="523"/>
      <c r="AA26" s="523"/>
      <c r="AB26" s="523"/>
      <c r="AC26" s="523"/>
      <c r="AD26" s="523"/>
      <c r="AE26" s="523"/>
      <c r="AF26" s="573"/>
      <c r="AG26" s="568">
        <v>44.96</v>
      </c>
      <c r="AH26" s="533">
        <f t="shared" si="0"/>
        <v>141.03</v>
      </c>
    </row>
    <row r="27" spans="1:34" s="510" customFormat="1" ht="15" customHeight="1" x14ac:dyDescent="0.25">
      <c r="A27" s="534">
        <v>18</v>
      </c>
      <c r="B27" s="535">
        <f t="shared" si="1"/>
        <v>45169</v>
      </c>
      <c r="C27" s="551"/>
      <c r="D27" s="549">
        <v>0</v>
      </c>
      <c r="E27" s="549">
        <v>0</v>
      </c>
      <c r="F27" s="549">
        <v>0</v>
      </c>
      <c r="G27" s="549">
        <v>0</v>
      </c>
      <c r="H27" s="549">
        <v>0</v>
      </c>
      <c r="I27" s="549">
        <v>0</v>
      </c>
      <c r="J27" s="549">
        <v>0</v>
      </c>
      <c r="K27" s="549">
        <v>0</v>
      </c>
      <c r="L27" s="549">
        <v>0</v>
      </c>
      <c r="M27" s="549">
        <v>0</v>
      </c>
      <c r="N27" s="549">
        <v>0</v>
      </c>
      <c r="O27" s="550">
        <v>0</v>
      </c>
      <c r="P27" s="549">
        <v>0</v>
      </c>
      <c r="Q27" s="550">
        <v>0</v>
      </c>
      <c r="R27" s="549">
        <v>0</v>
      </c>
      <c r="S27" s="551">
        <v>0</v>
      </c>
      <c r="T27" s="524">
        <v>13.63</v>
      </c>
      <c r="U27" s="524">
        <v>368.82</v>
      </c>
      <c r="V27" s="523">
        <v>487.15</v>
      </c>
      <c r="W27" s="523">
        <v>409.02</v>
      </c>
      <c r="X27" s="524"/>
      <c r="Y27" s="524"/>
      <c r="Z27" s="523"/>
      <c r="AA27" s="523"/>
      <c r="AB27" s="523"/>
      <c r="AC27" s="523"/>
      <c r="AD27" s="523"/>
      <c r="AE27" s="523"/>
      <c r="AF27" s="565"/>
      <c r="AG27" s="574">
        <v>154.92000000000002</v>
      </c>
      <c r="AH27" s="533">
        <f t="shared" si="0"/>
        <v>1433.54</v>
      </c>
    </row>
    <row r="28" spans="1:34" s="510" customFormat="1" ht="15" customHeight="1" x14ac:dyDescent="0.25">
      <c r="A28" s="534">
        <v>19</v>
      </c>
      <c r="B28" s="535">
        <f t="shared" si="1"/>
        <v>45138</v>
      </c>
      <c r="C28" s="551"/>
      <c r="D28" s="549">
        <v>0</v>
      </c>
      <c r="E28" s="549">
        <v>0</v>
      </c>
      <c r="F28" s="549">
        <v>0</v>
      </c>
      <c r="G28" s="549">
        <v>0</v>
      </c>
      <c r="H28" s="549">
        <v>0</v>
      </c>
      <c r="I28" s="549">
        <v>0</v>
      </c>
      <c r="J28" s="549">
        <v>0</v>
      </c>
      <c r="K28" s="549">
        <v>0</v>
      </c>
      <c r="L28" s="549">
        <v>0</v>
      </c>
      <c r="M28" s="549">
        <v>0</v>
      </c>
      <c r="N28" s="549">
        <v>0</v>
      </c>
      <c r="O28" s="550">
        <v>0</v>
      </c>
      <c r="P28" s="549">
        <v>0</v>
      </c>
      <c r="Q28" s="550">
        <v>0</v>
      </c>
      <c r="R28" s="549">
        <v>0</v>
      </c>
      <c r="S28" s="549">
        <v>0</v>
      </c>
      <c r="T28" s="551">
        <v>0</v>
      </c>
      <c r="U28" s="524">
        <v>57.29</v>
      </c>
      <c r="V28" s="523">
        <v>3722.76</v>
      </c>
      <c r="W28" s="523">
        <v>10.49</v>
      </c>
      <c r="X28" s="524"/>
      <c r="Y28" s="524"/>
      <c r="Z28" s="523"/>
      <c r="AA28" s="523"/>
      <c r="AB28" s="523"/>
      <c r="AC28" s="523"/>
      <c r="AD28" s="523"/>
      <c r="AE28" s="523"/>
      <c r="AF28" s="565"/>
      <c r="AG28" s="569">
        <v>281.89</v>
      </c>
      <c r="AH28" s="533">
        <f t="shared" si="0"/>
        <v>4072.43</v>
      </c>
    </row>
    <row r="29" spans="1:34" s="510" customFormat="1" ht="15" customHeight="1" x14ac:dyDescent="0.25">
      <c r="A29" s="534">
        <v>20</v>
      </c>
      <c r="B29" s="535">
        <f t="shared" si="1"/>
        <v>45107</v>
      </c>
      <c r="C29" s="551"/>
      <c r="D29" s="549">
        <v>0</v>
      </c>
      <c r="E29" s="549">
        <v>0</v>
      </c>
      <c r="F29" s="549">
        <v>0</v>
      </c>
      <c r="G29" s="549">
        <v>0</v>
      </c>
      <c r="H29" s="549">
        <v>0</v>
      </c>
      <c r="I29" s="549">
        <v>0</v>
      </c>
      <c r="J29" s="549">
        <v>0</v>
      </c>
      <c r="K29" s="549">
        <v>0</v>
      </c>
      <c r="L29" s="549">
        <v>0</v>
      </c>
      <c r="M29" s="549">
        <v>0</v>
      </c>
      <c r="N29" s="549">
        <v>0</v>
      </c>
      <c r="O29" s="550">
        <v>0</v>
      </c>
      <c r="P29" s="549">
        <v>0</v>
      </c>
      <c r="Q29" s="550">
        <v>0</v>
      </c>
      <c r="R29" s="549">
        <v>0</v>
      </c>
      <c r="S29" s="550">
        <v>0</v>
      </c>
      <c r="T29" s="549">
        <v>0</v>
      </c>
      <c r="U29" s="551">
        <v>0</v>
      </c>
      <c r="V29" s="523">
        <v>10.24</v>
      </c>
      <c r="W29" s="523">
        <v>13.96</v>
      </c>
      <c r="X29" s="524"/>
      <c r="Y29" s="524"/>
      <c r="Z29" s="523"/>
      <c r="AA29" s="523"/>
      <c r="AB29" s="523"/>
      <c r="AC29" s="523"/>
      <c r="AD29" s="523"/>
      <c r="AE29" s="523"/>
      <c r="AF29" s="565"/>
      <c r="AG29" s="568">
        <v>73.13</v>
      </c>
      <c r="AH29" s="533">
        <f t="shared" si="0"/>
        <v>97.33</v>
      </c>
    </row>
    <row r="30" spans="1:34" s="510" customFormat="1" ht="15" customHeight="1" x14ac:dyDescent="0.25">
      <c r="A30" s="534">
        <v>21</v>
      </c>
      <c r="B30" s="535">
        <f t="shared" si="1"/>
        <v>45077</v>
      </c>
      <c r="C30" s="551"/>
      <c r="D30" s="549">
        <v>0</v>
      </c>
      <c r="E30" s="549">
        <v>0</v>
      </c>
      <c r="F30" s="549">
        <v>0</v>
      </c>
      <c r="G30" s="549">
        <v>0</v>
      </c>
      <c r="H30" s="549">
        <v>0</v>
      </c>
      <c r="I30" s="549">
        <v>0</v>
      </c>
      <c r="J30" s="549">
        <v>0</v>
      </c>
      <c r="K30" s="549">
        <v>0</v>
      </c>
      <c r="L30" s="549">
        <v>0</v>
      </c>
      <c r="M30" s="549">
        <v>0</v>
      </c>
      <c r="N30" s="549">
        <v>0</v>
      </c>
      <c r="O30" s="550">
        <v>0</v>
      </c>
      <c r="P30" s="549">
        <v>0</v>
      </c>
      <c r="Q30" s="550">
        <v>0</v>
      </c>
      <c r="R30" s="549">
        <v>0</v>
      </c>
      <c r="S30" s="550">
        <v>0</v>
      </c>
      <c r="T30" s="550">
        <v>0</v>
      </c>
      <c r="U30" s="550">
        <v>0</v>
      </c>
      <c r="V30" s="549">
        <v>0</v>
      </c>
      <c r="W30" s="523">
        <v>5.9</v>
      </c>
      <c r="X30" s="524"/>
      <c r="Y30" s="524"/>
      <c r="Z30" s="523"/>
      <c r="AA30" s="523"/>
      <c r="AB30" s="523"/>
      <c r="AC30" s="523"/>
      <c r="AD30" s="523"/>
      <c r="AE30" s="523"/>
      <c r="AF30" s="565"/>
      <c r="AG30" s="568">
        <v>527.91999999999996</v>
      </c>
      <c r="AH30" s="533">
        <f t="shared" si="0"/>
        <v>533.81999999999994</v>
      </c>
    </row>
    <row r="31" spans="1:34" s="510" customFormat="1" ht="15" customHeight="1" x14ac:dyDescent="0.25">
      <c r="A31" s="534">
        <v>22</v>
      </c>
      <c r="B31" s="535">
        <f t="shared" si="1"/>
        <v>45046</v>
      </c>
      <c r="C31" s="551"/>
      <c r="D31" s="549">
        <v>0</v>
      </c>
      <c r="E31" s="549">
        <v>0</v>
      </c>
      <c r="F31" s="549">
        <v>0</v>
      </c>
      <c r="G31" s="549">
        <v>0</v>
      </c>
      <c r="H31" s="549">
        <v>0</v>
      </c>
      <c r="I31" s="549">
        <v>0</v>
      </c>
      <c r="J31" s="549">
        <v>0</v>
      </c>
      <c r="K31" s="549">
        <v>0</v>
      </c>
      <c r="L31" s="549">
        <v>0</v>
      </c>
      <c r="M31" s="549">
        <v>0</v>
      </c>
      <c r="N31" s="549">
        <v>0</v>
      </c>
      <c r="O31" s="550">
        <v>0</v>
      </c>
      <c r="P31" s="549">
        <v>0</v>
      </c>
      <c r="Q31" s="550">
        <v>0</v>
      </c>
      <c r="R31" s="549">
        <v>0</v>
      </c>
      <c r="S31" s="550">
        <v>0</v>
      </c>
      <c r="T31" s="550">
        <v>0</v>
      </c>
      <c r="U31" s="550">
        <v>0</v>
      </c>
      <c r="V31" s="549">
        <v>0</v>
      </c>
      <c r="W31" s="549">
        <v>0</v>
      </c>
      <c r="X31" s="524"/>
      <c r="Y31" s="524"/>
      <c r="Z31" s="523"/>
      <c r="AA31" s="523"/>
      <c r="AB31" s="523"/>
      <c r="AC31" s="523"/>
      <c r="AD31" s="523"/>
      <c r="AE31" s="523"/>
      <c r="AF31" s="565"/>
      <c r="AG31" s="568"/>
      <c r="AH31" s="533">
        <f t="shared" si="0"/>
        <v>0</v>
      </c>
    </row>
    <row r="32" spans="1:34" s="510" customFormat="1" ht="15" customHeight="1" x14ac:dyDescent="0.25">
      <c r="A32" s="534">
        <v>23</v>
      </c>
      <c r="B32" s="535">
        <f t="shared" si="1"/>
        <v>45016</v>
      </c>
      <c r="C32" s="551"/>
      <c r="D32" s="549">
        <v>0</v>
      </c>
      <c r="E32" s="549">
        <v>0</v>
      </c>
      <c r="F32" s="549">
        <v>0</v>
      </c>
      <c r="G32" s="549">
        <v>0</v>
      </c>
      <c r="H32" s="549">
        <v>0</v>
      </c>
      <c r="I32" s="549">
        <v>0</v>
      </c>
      <c r="J32" s="549">
        <v>0</v>
      </c>
      <c r="K32" s="549">
        <v>0</v>
      </c>
      <c r="L32" s="549">
        <v>0</v>
      </c>
      <c r="M32" s="549">
        <v>0</v>
      </c>
      <c r="N32" s="549">
        <v>0</v>
      </c>
      <c r="O32" s="550">
        <v>0</v>
      </c>
      <c r="P32" s="549">
        <v>0</v>
      </c>
      <c r="Q32" s="550">
        <v>0</v>
      </c>
      <c r="R32" s="549">
        <v>0</v>
      </c>
      <c r="S32" s="550">
        <v>0</v>
      </c>
      <c r="T32" s="550">
        <v>0</v>
      </c>
      <c r="U32" s="550">
        <v>0</v>
      </c>
      <c r="V32" s="549">
        <v>0</v>
      </c>
      <c r="W32" s="550">
        <v>0</v>
      </c>
      <c r="X32" s="549"/>
      <c r="Y32" s="524"/>
      <c r="Z32" s="523"/>
      <c r="AA32" s="523"/>
      <c r="AB32" s="523"/>
      <c r="AC32" s="523"/>
      <c r="AD32" s="523"/>
      <c r="AE32" s="523"/>
      <c r="AF32" s="565"/>
      <c r="AG32" s="568"/>
      <c r="AH32" s="533">
        <f t="shared" si="0"/>
        <v>0</v>
      </c>
    </row>
    <row r="33" spans="1:79" s="510" customFormat="1" ht="15" customHeight="1" x14ac:dyDescent="0.25">
      <c r="A33" s="534">
        <v>24</v>
      </c>
      <c r="B33" s="535">
        <f t="shared" si="1"/>
        <v>44985</v>
      </c>
      <c r="C33" s="551"/>
      <c r="D33" s="549">
        <v>0</v>
      </c>
      <c r="E33" s="549">
        <v>0</v>
      </c>
      <c r="F33" s="549">
        <v>0</v>
      </c>
      <c r="G33" s="549">
        <v>0</v>
      </c>
      <c r="H33" s="549">
        <v>0</v>
      </c>
      <c r="I33" s="549">
        <v>0</v>
      </c>
      <c r="J33" s="549">
        <v>0</v>
      </c>
      <c r="K33" s="549">
        <v>0</v>
      </c>
      <c r="L33" s="549">
        <v>0</v>
      </c>
      <c r="M33" s="549">
        <v>0</v>
      </c>
      <c r="N33" s="549">
        <v>0</v>
      </c>
      <c r="O33" s="550">
        <v>0</v>
      </c>
      <c r="P33" s="549">
        <v>0</v>
      </c>
      <c r="Q33" s="550">
        <v>0</v>
      </c>
      <c r="R33" s="549">
        <v>0</v>
      </c>
      <c r="S33" s="550">
        <v>0</v>
      </c>
      <c r="T33" s="550">
        <v>0</v>
      </c>
      <c r="U33" s="550">
        <v>0</v>
      </c>
      <c r="V33" s="549">
        <v>0</v>
      </c>
      <c r="W33" s="550">
        <v>0</v>
      </c>
      <c r="X33" s="550"/>
      <c r="Y33" s="549"/>
      <c r="Z33" s="523"/>
      <c r="AA33" s="523"/>
      <c r="AB33" s="523"/>
      <c r="AC33" s="523"/>
      <c r="AD33" s="523"/>
      <c r="AE33" s="523"/>
      <c r="AF33" s="565"/>
      <c r="AG33" s="568">
        <v>0</v>
      </c>
      <c r="AH33" s="533">
        <f t="shared" si="0"/>
        <v>0</v>
      </c>
    </row>
    <row r="34" spans="1:79" s="510" customFormat="1" ht="15" customHeight="1" x14ac:dyDescent="0.25">
      <c r="A34" s="534">
        <v>25</v>
      </c>
      <c r="B34" s="535">
        <f t="shared" si="1"/>
        <v>44957</v>
      </c>
      <c r="C34" s="551"/>
      <c r="D34" s="549">
        <v>0</v>
      </c>
      <c r="E34" s="549">
        <v>0</v>
      </c>
      <c r="F34" s="549">
        <v>0</v>
      </c>
      <c r="G34" s="549">
        <v>0</v>
      </c>
      <c r="H34" s="549">
        <v>0</v>
      </c>
      <c r="I34" s="549">
        <v>0</v>
      </c>
      <c r="J34" s="549">
        <v>0</v>
      </c>
      <c r="K34" s="549">
        <v>0</v>
      </c>
      <c r="L34" s="549">
        <v>0</v>
      </c>
      <c r="M34" s="549">
        <v>0</v>
      </c>
      <c r="N34" s="549">
        <v>0</v>
      </c>
      <c r="O34" s="550">
        <v>0</v>
      </c>
      <c r="P34" s="549">
        <v>0</v>
      </c>
      <c r="Q34" s="550">
        <v>0</v>
      </c>
      <c r="R34" s="549">
        <v>0</v>
      </c>
      <c r="S34" s="550">
        <v>0</v>
      </c>
      <c r="T34" s="550">
        <v>0</v>
      </c>
      <c r="U34" s="550">
        <v>0</v>
      </c>
      <c r="V34" s="549">
        <v>0</v>
      </c>
      <c r="W34" s="550">
        <v>0</v>
      </c>
      <c r="X34" s="550"/>
      <c r="Y34" s="550"/>
      <c r="Z34" s="549"/>
      <c r="AA34" s="523"/>
      <c r="AB34" s="523"/>
      <c r="AC34" s="523"/>
      <c r="AD34" s="523"/>
      <c r="AE34" s="523"/>
      <c r="AF34" s="565"/>
      <c r="AG34" s="568">
        <v>0</v>
      </c>
      <c r="AH34" s="533">
        <f t="shared" si="0"/>
        <v>0</v>
      </c>
    </row>
    <row r="35" spans="1:79" s="510" customFormat="1" ht="15" customHeight="1" x14ac:dyDescent="0.25">
      <c r="A35" s="534">
        <v>26</v>
      </c>
      <c r="B35" s="535">
        <f t="shared" si="1"/>
        <v>44926</v>
      </c>
      <c r="C35" s="551"/>
      <c r="D35" s="549">
        <v>0</v>
      </c>
      <c r="E35" s="549">
        <v>0</v>
      </c>
      <c r="F35" s="549">
        <v>0</v>
      </c>
      <c r="G35" s="549">
        <v>0</v>
      </c>
      <c r="H35" s="549">
        <v>0</v>
      </c>
      <c r="I35" s="549">
        <v>0</v>
      </c>
      <c r="J35" s="549">
        <v>0</v>
      </c>
      <c r="K35" s="549">
        <v>0</v>
      </c>
      <c r="L35" s="549">
        <v>0</v>
      </c>
      <c r="M35" s="549">
        <v>0</v>
      </c>
      <c r="N35" s="549">
        <v>0</v>
      </c>
      <c r="O35" s="550">
        <v>0</v>
      </c>
      <c r="P35" s="549">
        <v>0</v>
      </c>
      <c r="Q35" s="550">
        <v>0</v>
      </c>
      <c r="R35" s="549">
        <v>0</v>
      </c>
      <c r="S35" s="550">
        <v>0</v>
      </c>
      <c r="T35" s="550">
        <v>0</v>
      </c>
      <c r="U35" s="550">
        <v>0</v>
      </c>
      <c r="V35" s="549">
        <v>0</v>
      </c>
      <c r="W35" s="550">
        <v>0</v>
      </c>
      <c r="X35" s="550"/>
      <c r="Y35" s="550"/>
      <c r="Z35" s="549"/>
      <c r="AA35" s="549"/>
      <c r="AB35" s="523"/>
      <c r="AC35" s="523"/>
      <c r="AD35" s="523"/>
      <c r="AE35" s="523"/>
      <c r="AF35" s="565"/>
      <c r="AG35" s="568">
        <v>0</v>
      </c>
      <c r="AH35" s="533">
        <f t="shared" si="0"/>
        <v>0</v>
      </c>
    </row>
    <row r="36" spans="1:79" s="510" customFormat="1" ht="15" customHeight="1" x14ac:dyDescent="0.25">
      <c r="A36" s="534">
        <v>27</v>
      </c>
      <c r="B36" s="535">
        <f t="shared" si="1"/>
        <v>44895</v>
      </c>
      <c r="C36" s="551"/>
      <c r="D36" s="549">
        <v>0</v>
      </c>
      <c r="E36" s="549">
        <v>0</v>
      </c>
      <c r="F36" s="549">
        <v>0</v>
      </c>
      <c r="G36" s="549">
        <v>0</v>
      </c>
      <c r="H36" s="549">
        <v>0</v>
      </c>
      <c r="I36" s="549">
        <v>0</v>
      </c>
      <c r="J36" s="549">
        <v>0</v>
      </c>
      <c r="K36" s="549">
        <v>0</v>
      </c>
      <c r="L36" s="549">
        <v>0</v>
      </c>
      <c r="M36" s="549">
        <v>0</v>
      </c>
      <c r="N36" s="549">
        <v>0</v>
      </c>
      <c r="O36" s="550">
        <v>0</v>
      </c>
      <c r="P36" s="549">
        <v>0</v>
      </c>
      <c r="Q36" s="550">
        <v>0</v>
      </c>
      <c r="R36" s="549">
        <v>0</v>
      </c>
      <c r="S36" s="550">
        <v>0</v>
      </c>
      <c r="T36" s="550">
        <v>0</v>
      </c>
      <c r="U36" s="550">
        <v>0</v>
      </c>
      <c r="V36" s="549">
        <v>0</v>
      </c>
      <c r="W36" s="550">
        <v>0</v>
      </c>
      <c r="X36" s="550"/>
      <c r="Y36" s="550"/>
      <c r="Z36" s="549"/>
      <c r="AA36" s="550"/>
      <c r="AB36" s="549"/>
      <c r="AC36" s="523"/>
      <c r="AD36" s="523"/>
      <c r="AE36" s="523"/>
      <c r="AF36" s="565"/>
      <c r="AG36" s="568">
        <v>0</v>
      </c>
      <c r="AH36" s="533">
        <f t="shared" si="0"/>
        <v>0</v>
      </c>
    </row>
    <row r="37" spans="1:79" s="510" customFormat="1" ht="15" customHeight="1" x14ac:dyDescent="0.25">
      <c r="A37" s="534">
        <v>28</v>
      </c>
      <c r="B37" s="535">
        <f t="shared" si="1"/>
        <v>44865</v>
      </c>
      <c r="C37" s="551"/>
      <c r="D37" s="549"/>
      <c r="E37" s="549"/>
      <c r="F37" s="549"/>
      <c r="G37" s="549"/>
      <c r="H37" s="549"/>
      <c r="I37" s="549"/>
      <c r="J37" s="549"/>
      <c r="K37" s="549"/>
      <c r="L37" s="549"/>
      <c r="M37" s="549"/>
      <c r="N37" s="549"/>
      <c r="O37" s="550"/>
      <c r="P37" s="549"/>
      <c r="Q37" s="550"/>
      <c r="R37" s="549"/>
      <c r="S37" s="550"/>
      <c r="T37" s="550"/>
      <c r="U37" s="550"/>
      <c r="V37" s="549"/>
      <c r="W37" s="550"/>
      <c r="X37" s="550"/>
      <c r="Y37" s="550"/>
      <c r="Z37" s="549"/>
      <c r="AA37" s="550"/>
      <c r="AB37" s="549"/>
      <c r="AC37" s="549"/>
      <c r="AD37" s="523"/>
      <c r="AE37" s="523"/>
      <c r="AF37" s="565"/>
      <c r="AG37" s="568"/>
      <c r="AH37" s="533">
        <f t="shared" si="0"/>
        <v>0</v>
      </c>
    </row>
    <row r="38" spans="1:79" s="510" customFormat="1" ht="15" customHeight="1" x14ac:dyDescent="0.25">
      <c r="A38" s="534">
        <v>29</v>
      </c>
      <c r="B38" s="535">
        <f t="shared" si="1"/>
        <v>44834</v>
      </c>
      <c r="C38" s="551"/>
      <c r="D38" s="549"/>
      <c r="E38" s="549"/>
      <c r="F38" s="549"/>
      <c r="G38" s="549"/>
      <c r="H38" s="549"/>
      <c r="I38" s="549"/>
      <c r="J38" s="549"/>
      <c r="K38" s="549"/>
      <c r="L38" s="549"/>
      <c r="M38" s="549"/>
      <c r="N38" s="549"/>
      <c r="O38" s="550"/>
      <c r="P38" s="549"/>
      <c r="Q38" s="550"/>
      <c r="R38" s="549"/>
      <c r="S38" s="550"/>
      <c r="T38" s="550"/>
      <c r="U38" s="550"/>
      <c r="V38" s="549"/>
      <c r="W38" s="550"/>
      <c r="X38" s="550"/>
      <c r="Y38" s="550"/>
      <c r="Z38" s="549"/>
      <c r="AA38" s="550"/>
      <c r="AB38" s="549"/>
      <c r="AC38" s="549"/>
      <c r="AD38" s="549"/>
      <c r="AE38" s="523"/>
      <c r="AF38" s="565"/>
      <c r="AG38" s="568"/>
      <c r="AH38" s="533">
        <f t="shared" si="0"/>
        <v>0</v>
      </c>
    </row>
    <row r="39" spans="1:79" s="510" customFormat="1" ht="15" customHeight="1" x14ac:dyDescent="0.25">
      <c r="A39" s="534">
        <v>30</v>
      </c>
      <c r="B39" s="535">
        <f t="shared" si="1"/>
        <v>44804</v>
      </c>
      <c r="C39" s="551"/>
      <c r="D39" s="549"/>
      <c r="E39" s="549"/>
      <c r="F39" s="549"/>
      <c r="G39" s="549"/>
      <c r="H39" s="549"/>
      <c r="I39" s="549"/>
      <c r="J39" s="549"/>
      <c r="K39" s="549"/>
      <c r="L39" s="549"/>
      <c r="M39" s="549"/>
      <c r="N39" s="549"/>
      <c r="O39" s="550"/>
      <c r="P39" s="549"/>
      <c r="Q39" s="550"/>
      <c r="R39" s="549"/>
      <c r="S39" s="550"/>
      <c r="T39" s="550"/>
      <c r="U39" s="550"/>
      <c r="V39" s="549"/>
      <c r="W39" s="550"/>
      <c r="X39" s="550"/>
      <c r="Y39" s="550"/>
      <c r="Z39" s="549"/>
      <c r="AA39" s="550"/>
      <c r="AB39" s="549"/>
      <c r="AC39" s="549"/>
      <c r="AD39" s="549"/>
      <c r="AE39" s="549"/>
      <c r="AF39" s="565"/>
      <c r="AG39" s="568"/>
      <c r="AH39" s="533">
        <f>SUM(C39:AG39)</f>
        <v>0</v>
      </c>
    </row>
    <row r="40" spans="1:79" s="510" customFormat="1" ht="31.35" customHeight="1" thickBot="1" x14ac:dyDescent="0.3">
      <c r="A40" s="534">
        <v>31</v>
      </c>
      <c r="B40" s="535" t="s">
        <v>528</v>
      </c>
      <c r="C40" s="577"/>
      <c r="D40" s="551"/>
      <c r="E40" s="549"/>
      <c r="F40" s="549"/>
      <c r="G40" s="549"/>
      <c r="H40" s="549"/>
      <c r="I40" s="549"/>
      <c r="J40" s="549"/>
      <c r="K40" s="549"/>
      <c r="L40" s="549"/>
      <c r="M40" s="549"/>
      <c r="N40" s="549"/>
      <c r="O40" s="549"/>
      <c r="P40" s="550"/>
      <c r="Q40" s="549"/>
      <c r="R40" s="550"/>
      <c r="S40" s="549"/>
      <c r="T40" s="550"/>
      <c r="U40" s="550"/>
      <c r="V40" s="550"/>
      <c r="W40" s="549"/>
      <c r="X40" s="550"/>
      <c r="Y40" s="550"/>
      <c r="Z40" s="550"/>
      <c r="AA40" s="549"/>
      <c r="AB40" s="550"/>
      <c r="AC40" s="549"/>
      <c r="AD40" s="549"/>
      <c r="AE40" s="549"/>
      <c r="AF40" s="587"/>
      <c r="AG40" s="567">
        <v>30927.200000000015</v>
      </c>
      <c r="AH40" s="533">
        <f>SUM(C40:AG40)</f>
        <v>30927.200000000015</v>
      </c>
    </row>
    <row r="41" spans="1:79" s="510" customFormat="1" ht="40.35" customHeight="1" x14ac:dyDescent="0.25">
      <c r="A41" s="536">
        <v>32</v>
      </c>
      <c r="B41" s="537" t="s">
        <v>1307</v>
      </c>
      <c r="C41" s="555">
        <f>SUM(C10:C40)</f>
        <v>0</v>
      </c>
      <c r="D41" s="555">
        <f>SUM(D10:D40)</f>
        <v>3820.91</v>
      </c>
      <c r="E41" s="555">
        <f t="shared" ref="E41:AC41" si="2">SUM(E10:E40)</f>
        <v>3752.3999999999996</v>
      </c>
      <c r="F41" s="555">
        <f t="shared" si="2"/>
        <v>6980.21</v>
      </c>
      <c r="G41" s="555">
        <f t="shared" si="2"/>
        <v>2469.8900000000003</v>
      </c>
      <c r="H41" s="555">
        <f t="shared" si="2"/>
        <v>2116.19</v>
      </c>
      <c r="I41" s="555">
        <f t="shared" si="2"/>
        <v>3872.3900000000003</v>
      </c>
      <c r="J41" s="555">
        <f t="shared" si="2"/>
        <v>3264.15</v>
      </c>
      <c r="K41" s="555">
        <f t="shared" si="2"/>
        <v>14318.760000000002</v>
      </c>
      <c r="L41" s="555">
        <f t="shared" si="2"/>
        <v>283363.33</v>
      </c>
      <c r="M41" s="555">
        <f t="shared" si="2"/>
        <v>43.91</v>
      </c>
      <c r="N41" s="555">
        <f t="shared" si="2"/>
        <v>382.76</v>
      </c>
      <c r="O41" s="555">
        <f t="shared" si="2"/>
        <v>1273.58</v>
      </c>
      <c r="P41" s="555">
        <f t="shared" si="2"/>
        <v>41.26</v>
      </c>
      <c r="Q41" s="555">
        <f t="shared" si="2"/>
        <v>1060.02</v>
      </c>
      <c r="R41" s="555">
        <f t="shared" si="2"/>
        <v>2282.1099999999997</v>
      </c>
      <c r="S41" s="555">
        <f t="shared" si="2"/>
        <v>571.18999999999994</v>
      </c>
      <c r="T41" s="555">
        <f t="shared" si="2"/>
        <v>18.39</v>
      </c>
      <c r="U41" s="555">
        <f t="shared" si="2"/>
        <v>598.27</v>
      </c>
      <c r="V41" s="555">
        <f t="shared" si="2"/>
        <v>4220.1499999999996</v>
      </c>
      <c r="W41" s="555">
        <f t="shared" si="2"/>
        <v>439.36999999999995</v>
      </c>
      <c r="X41" s="555">
        <f t="shared" si="2"/>
        <v>0</v>
      </c>
      <c r="Y41" s="555">
        <f t="shared" si="2"/>
        <v>0</v>
      </c>
      <c r="Z41" s="555">
        <f t="shared" si="2"/>
        <v>0</v>
      </c>
      <c r="AA41" s="555">
        <f t="shared" si="2"/>
        <v>0</v>
      </c>
      <c r="AB41" s="555">
        <f t="shared" si="2"/>
        <v>0</v>
      </c>
      <c r="AC41" s="555">
        <f t="shared" si="2"/>
        <v>0</v>
      </c>
      <c r="AD41" s="555">
        <f>SUM(AD10:AD40)</f>
        <v>0</v>
      </c>
      <c r="AE41" s="555">
        <f>SUM(AE10:AE40)</f>
        <v>0</v>
      </c>
      <c r="AF41" s="555">
        <f>SUM(AF10:AF40)</f>
        <v>0</v>
      </c>
      <c r="AG41" s="579">
        <f>SUM(AG10:AG40)</f>
        <v>32144.930000000015</v>
      </c>
      <c r="AH41" s="556">
        <f>SUM(AH10:AH40)</f>
        <v>367034.1700000001</v>
      </c>
    </row>
    <row r="42" spans="1:79" s="510" customFormat="1" ht="40.35" customHeight="1" x14ac:dyDescent="0.25">
      <c r="A42" s="538">
        <v>33</v>
      </c>
      <c r="B42" s="539" t="s">
        <v>1441</v>
      </c>
      <c r="C42" s="525"/>
      <c r="D42" s="523"/>
      <c r="E42" s="523"/>
      <c r="F42" s="523"/>
      <c r="G42" s="526"/>
      <c r="H42" s="523"/>
      <c r="I42" s="523"/>
      <c r="J42" s="523"/>
      <c r="K42" s="523"/>
      <c r="L42" s="523"/>
      <c r="M42" s="523"/>
      <c r="N42" s="523"/>
      <c r="O42" s="524"/>
      <c r="P42" s="523"/>
      <c r="Q42" s="524"/>
      <c r="R42" s="523"/>
      <c r="S42" s="524"/>
      <c r="T42" s="524"/>
      <c r="U42" s="524"/>
      <c r="V42" s="523"/>
      <c r="W42" s="524"/>
      <c r="X42" s="524"/>
      <c r="Y42" s="524"/>
      <c r="Z42" s="523"/>
      <c r="AA42" s="524"/>
      <c r="AB42" s="523"/>
      <c r="AC42" s="524"/>
      <c r="AD42" s="524"/>
      <c r="AE42" s="523"/>
      <c r="AF42" s="589"/>
      <c r="AG42" s="526"/>
      <c r="AH42" s="533">
        <f>SUM(C42:AG42)</f>
        <v>0</v>
      </c>
    </row>
    <row r="43" spans="1:79" s="510" customFormat="1" ht="40.35" customHeight="1" x14ac:dyDescent="0.25">
      <c r="A43" s="538">
        <v>34</v>
      </c>
      <c r="B43" s="539" t="s">
        <v>522</v>
      </c>
      <c r="C43" s="525"/>
      <c r="D43" s="523"/>
      <c r="E43" s="523"/>
      <c r="F43" s="523"/>
      <c r="G43" s="526"/>
      <c r="H43" s="523"/>
      <c r="I43" s="523"/>
      <c r="J43" s="523"/>
      <c r="K43" s="523"/>
      <c r="L43" s="523"/>
      <c r="M43" s="523"/>
      <c r="N43" s="523"/>
      <c r="O43" s="524"/>
      <c r="P43" s="523"/>
      <c r="Q43" s="524"/>
      <c r="R43" s="523"/>
      <c r="S43" s="524"/>
      <c r="T43" s="524"/>
      <c r="U43" s="524"/>
      <c r="V43" s="523"/>
      <c r="W43" s="524"/>
      <c r="X43" s="524"/>
      <c r="Y43" s="524"/>
      <c r="Z43" s="523"/>
      <c r="AA43" s="524"/>
      <c r="AB43" s="523"/>
      <c r="AC43" s="524"/>
      <c r="AD43" s="524"/>
      <c r="AE43" s="523"/>
      <c r="AF43" s="589"/>
      <c r="AG43" s="526"/>
      <c r="AH43" s="533"/>
    </row>
    <row r="44" spans="1:79" s="510" customFormat="1" ht="40.35" customHeight="1" x14ac:dyDescent="0.25">
      <c r="A44" s="538">
        <v>35</v>
      </c>
      <c r="B44" s="540" t="s">
        <v>1347</v>
      </c>
      <c r="C44" s="525"/>
      <c r="D44" s="523"/>
      <c r="E44" s="523"/>
      <c r="F44" s="523"/>
      <c r="G44" s="526"/>
      <c r="H44" s="523"/>
      <c r="I44" s="523"/>
      <c r="J44" s="523"/>
      <c r="K44" s="523"/>
      <c r="L44" s="523"/>
      <c r="M44" s="523"/>
      <c r="N44" s="523"/>
      <c r="O44" s="524"/>
      <c r="P44" s="523"/>
      <c r="Q44" s="524"/>
      <c r="R44" s="523"/>
      <c r="S44" s="524"/>
      <c r="T44" s="524"/>
      <c r="U44" s="524"/>
      <c r="V44" s="523"/>
      <c r="W44" s="524"/>
      <c r="X44" s="524"/>
      <c r="Y44" s="524"/>
      <c r="Z44" s="523"/>
      <c r="AA44" s="524"/>
      <c r="AB44" s="523"/>
      <c r="AC44" s="524"/>
      <c r="AD44" s="524"/>
      <c r="AE44" s="523"/>
      <c r="AF44" s="589"/>
      <c r="AG44" s="526"/>
      <c r="AH44" s="529">
        <f>SUM(C44:AG44)</f>
        <v>0</v>
      </c>
    </row>
    <row r="45" spans="1:79" s="510" customFormat="1" ht="39.6" x14ac:dyDescent="0.25">
      <c r="A45" s="538">
        <v>36</v>
      </c>
      <c r="B45" s="541" t="s">
        <v>1440</v>
      </c>
      <c r="C45" s="527">
        <f>SUM(C41:C44)</f>
        <v>0</v>
      </c>
      <c r="D45" s="527">
        <f>SUM(D41:D44)</f>
        <v>3820.91</v>
      </c>
      <c r="E45" s="528">
        <f t="shared" ref="E45:AB45" si="3">SUM(E41:E44)</f>
        <v>3752.3999999999996</v>
      </c>
      <c r="F45" s="528">
        <f>SUM(F41:F44)</f>
        <v>6980.21</v>
      </c>
      <c r="G45" s="528">
        <f t="shared" si="3"/>
        <v>2469.8900000000003</v>
      </c>
      <c r="H45" s="528">
        <f t="shared" si="3"/>
        <v>2116.19</v>
      </c>
      <c r="I45" s="528">
        <f t="shared" si="3"/>
        <v>3872.3900000000003</v>
      </c>
      <c r="J45" s="528">
        <f t="shared" si="3"/>
        <v>3264.15</v>
      </c>
      <c r="K45" s="528">
        <f t="shared" si="3"/>
        <v>14318.760000000002</v>
      </c>
      <c r="L45" s="528">
        <f t="shared" si="3"/>
        <v>283363.33</v>
      </c>
      <c r="M45" s="528">
        <f t="shared" si="3"/>
        <v>43.91</v>
      </c>
      <c r="N45" s="528">
        <f t="shared" si="3"/>
        <v>382.76</v>
      </c>
      <c r="O45" s="528">
        <f t="shared" si="3"/>
        <v>1273.58</v>
      </c>
      <c r="P45" s="528">
        <f t="shared" si="3"/>
        <v>41.26</v>
      </c>
      <c r="Q45" s="528">
        <f t="shared" si="3"/>
        <v>1060.02</v>
      </c>
      <c r="R45" s="528">
        <f t="shared" si="3"/>
        <v>2282.1099999999997</v>
      </c>
      <c r="S45" s="528">
        <f t="shared" si="3"/>
        <v>571.18999999999994</v>
      </c>
      <c r="T45" s="528">
        <f t="shared" si="3"/>
        <v>18.39</v>
      </c>
      <c r="U45" s="528">
        <f t="shared" si="3"/>
        <v>598.27</v>
      </c>
      <c r="V45" s="528">
        <f t="shared" si="3"/>
        <v>4220.1499999999996</v>
      </c>
      <c r="W45" s="528">
        <f t="shared" si="3"/>
        <v>439.36999999999995</v>
      </c>
      <c r="X45" s="528">
        <f t="shared" si="3"/>
        <v>0</v>
      </c>
      <c r="Y45" s="528">
        <f t="shared" si="3"/>
        <v>0</v>
      </c>
      <c r="Z45" s="528">
        <f t="shared" si="3"/>
        <v>0</v>
      </c>
      <c r="AA45" s="528">
        <f t="shared" si="3"/>
        <v>0</v>
      </c>
      <c r="AB45" s="528">
        <f t="shared" si="3"/>
        <v>0</v>
      </c>
      <c r="AC45" s="528">
        <f t="shared" ref="AC45:AH45" si="4">SUM(AC41:AC44)</f>
        <v>0</v>
      </c>
      <c r="AD45" s="528">
        <f t="shared" si="4"/>
        <v>0</v>
      </c>
      <c r="AE45" s="528">
        <f t="shared" si="4"/>
        <v>0</v>
      </c>
      <c r="AF45" s="528">
        <f t="shared" si="4"/>
        <v>0</v>
      </c>
      <c r="AG45" s="530">
        <f t="shared" si="4"/>
        <v>32144.930000000015</v>
      </c>
      <c r="AH45" s="529">
        <f t="shared" si="4"/>
        <v>367034.1700000001</v>
      </c>
    </row>
    <row r="46" spans="1:79" s="510" customFormat="1" ht="53.25" customHeight="1" x14ac:dyDescent="0.25">
      <c r="A46" s="538">
        <v>37</v>
      </c>
      <c r="B46" s="541" t="s">
        <v>523</v>
      </c>
      <c r="C46" s="525"/>
      <c r="D46" s="523">
        <v>67.032516401660331</v>
      </c>
      <c r="E46" s="523">
        <v>28.932265470180965</v>
      </c>
      <c r="F46" s="523">
        <v>22.347577767787715</v>
      </c>
      <c r="G46" s="526">
        <v>11.658339028505768</v>
      </c>
      <c r="H46" s="523">
        <v>7.7056432050151606</v>
      </c>
      <c r="I46" s="523">
        <v>3.9640600668384032</v>
      </c>
      <c r="J46" s="523">
        <v>44.661002574046115</v>
      </c>
      <c r="K46" s="523">
        <v>9.232599559621967</v>
      </c>
      <c r="L46" s="523">
        <v>17.069845817256002</v>
      </c>
      <c r="M46" s="523">
        <v>1.4946399279138775E-13</v>
      </c>
      <c r="N46" s="523">
        <v>0</v>
      </c>
      <c r="O46" s="524">
        <v>-2.6516487190301124E-13</v>
      </c>
      <c r="P46" s="523">
        <v>-4.3230861207336115E-14</v>
      </c>
      <c r="Q46" s="524">
        <v>3.0508909031049168E-13</v>
      </c>
      <c r="R46" s="523">
        <v>-1.60236157304778E-12</v>
      </c>
      <c r="S46" s="524">
        <v>1.4847388733269724E-12</v>
      </c>
      <c r="T46" s="524">
        <v>0</v>
      </c>
      <c r="U46" s="524">
        <v>9.2274369976694086E-14</v>
      </c>
      <c r="V46" s="523">
        <v>2.0299989248979807E-12</v>
      </c>
      <c r="W46" s="524">
        <v>-6.1867716112959803E-13</v>
      </c>
      <c r="X46" s="524">
        <v>0</v>
      </c>
      <c r="Y46" s="524">
        <v>1.4847388733269724E-12</v>
      </c>
      <c r="Z46" s="523">
        <v>0</v>
      </c>
      <c r="AA46" s="524">
        <v>9.2274369976694086E-14</v>
      </c>
      <c r="AB46" s="523">
        <v>2.0299989248979807E-12</v>
      </c>
      <c r="AC46" s="524">
        <v>-6.1867716112959803E-13</v>
      </c>
      <c r="AD46" s="524">
        <v>9.2274369976694086E-14</v>
      </c>
      <c r="AE46" s="523">
        <v>2.0299989248979807E-12</v>
      </c>
      <c r="AF46" s="589">
        <v>-6.1867716112959803E-13</v>
      </c>
      <c r="AG46" s="526">
        <v>0</v>
      </c>
      <c r="AH46" s="529">
        <f>SUM(C46:AG46)</f>
        <v>212.60384989091838</v>
      </c>
    </row>
    <row r="47" spans="1:79" s="510" customFormat="1" ht="40.35" customHeight="1" thickBot="1" x14ac:dyDescent="0.3">
      <c r="A47" s="542">
        <v>38</v>
      </c>
      <c r="B47" s="543" t="s">
        <v>1415</v>
      </c>
      <c r="C47" s="531">
        <f>SUM(C45:C46)</f>
        <v>0</v>
      </c>
      <c r="D47" s="531">
        <f t="shared" ref="D47:AC47" si="5">SUM(D45:D46)</f>
        <v>3887.9425164016602</v>
      </c>
      <c r="E47" s="531">
        <f t="shared" si="5"/>
        <v>3781.3322654701806</v>
      </c>
      <c r="F47" s="531">
        <f t="shared" si="5"/>
        <v>7002.5575777677877</v>
      </c>
      <c r="G47" s="531">
        <f t="shared" si="5"/>
        <v>2481.5483390285062</v>
      </c>
      <c r="H47" s="531">
        <f t="shared" si="5"/>
        <v>2123.8956432050154</v>
      </c>
      <c r="I47" s="531">
        <f t="shared" si="5"/>
        <v>3876.3540600668389</v>
      </c>
      <c r="J47" s="531">
        <f t="shared" si="5"/>
        <v>3308.8110025740461</v>
      </c>
      <c r="K47" s="531">
        <f t="shared" si="5"/>
        <v>14327.992599559624</v>
      </c>
      <c r="L47" s="531">
        <f t="shared" si="5"/>
        <v>283380.3998458173</v>
      </c>
      <c r="M47" s="531">
        <f t="shared" si="5"/>
        <v>43.910000000000146</v>
      </c>
      <c r="N47" s="531">
        <f t="shared" si="5"/>
        <v>382.76</v>
      </c>
      <c r="O47" s="531">
        <f t="shared" si="5"/>
        <v>1273.5799999999997</v>
      </c>
      <c r="P47" s="531">
        <f t="shared" si="5"/>
        <v>41.259999999999955</v>
      </c>
      <c r="Q47" s="531">
        <f t="shared" si="5"/>
        <v>1060.0200000000002</v>
      </c>
      <c r="R47" s="531">
        <f t="shared" si="5"/>
        <v>2282.1099999999979</v>
      </c>
      <c r="S47" s="531">
        <f t="shared" si="5"/>
        <v>571.19000000000142</v>
      </c>
      <c r="T47" s="531">
        <f t="shared" si="5"/>
        <v>18.39</v>
      </c>
      <c r="U47" s="531">
        <f t="shared" si="5"/>
        <v>598.2700000000001</v>
      </c>
      <c r="V47" s="531">
        <f t="shared" si="5"/>
        <v>4220.1500000000015</v>
      </c>
      <c r="W47" s="531">
        <f t="shared" si="5"/>
        <v>439.36999999999932</v>
      </c>
      <c r="X47" s="531">
        <f t="shared" si="5"/>
        <v>0</v>
      </c>
      <c r="Y47" s="531">
        <f t="shared" si="5"/>
        <v>1.4847388733269724E-12</v>
      </c>
      <c r="Z47" s="531">
        <f t="shared" si="5"/>
        <v>0</v>
      </c>
      <c r="AA47" s="531">
        <f t="shared" si="5"/>
        <v>9.2274369976694086E-14</v>
      </c>
      <c r="AB47" s="531">
        <f t="shared" si="5"/>
        <v>2.0299989248979807E-12</v>
      </c>
      <c r="AC47" s="531">
        <f t="shared" si="5"/>
        <v>-6.1867716112959803E-13</v>
      </c>
      <c r="AD47" s="531">
        <f>SUM(AD45:AD46)</f>
        <v>9.2274369976694086E-14</v>
      </c>
      <c r="AE47" s="531">
        <f>SUM(AE45:AE46)</f>
        <v>2.0299989248979807E-12</v>
      </c>
      <c r="AF47" s="531">
        <f>SUM(AF45:AF46)</f>
        <v>-6.1867716112959803E-13</v>
      </c>
      <c r="AG47" s="566">
        <f>SUM(AG45:AG46)</f>
        <v>32144.930000000015</v>
      </c>
      <c r="AH47" s="532">
        <f>SUM(AH45:AH46)</f>
        <v>367246.77384989103</v>
      </c>
    </row>
    <row r="48" spans="1:79" x14ac:dyDescent="0.25">
      <c r="AG48" s="508"/>
      <c r="AH48" s="508"/>
      <c r="AI48" s="508"/>
      <c r="AJ48" s="508"/>
      <c r="AK48" s="508"/>
      <c r="AL48" s="508"/>
      <c r="AM48" s="508"/>
      <c r="AN48" s="508"/>
      <c r="AO48" s="508"/>
      <c r="AP48" s="508"/>
      <c r="AQ48" s="508"/>
      <c r="AR48" s="508"/>
      <c r="AS48" s="508"/>
      <c r="AT48" s="508"/>
      <c r="AU48" s="508"/>
      <c r="AV48" s="508"/>
      <c r="AW48" s="508"/>
      <c r="AX48" s="508"/>
      <c r="AY48" s="508"/>
      <c r="AZ48" s="508"/>
      <c r="BA48" s="508"/>
      <c r="BB48" s="508"/>
      <c r="BC48" s="508"/>
      <c r="BD48" s="508"/>
      <c r="BE48" s="508"/>
      <c r="BF48" s="508"/>
      <c r="BG48" s="508"/>
      <c r="BH48" s="508"/>
      <c r="BI48" s="508"/>
      <c r="BJ48" s="508"/>
      <c r="BK48" s="508"/>
      <c r="BL48" s="508"/>
      <c r="BM48" s="508"/>
      <c r="BN48" s="508"/>
      <c r="BO48" s="508"/>
      <c r="BP48" s="508"/>
      <c r="BQ48" s="508"/>
      <c r="BR48" s="508"/>
      <c r="BS48" s="508"/>
      <c r="BT48" s="508"/>
      <c r="BU48" s="508"/>
      <c r="BV48" s="508"/>
      <c r="BW48" s="508"/>
      <c r="BX48" s="508"/>
      <c r="BY48" s="508"/>
      <c r="BZ48" s="508"/>
      <c r="CA48" s="508"/>
    </row>
    <row r="49" spans="33:79" x14ac:dyDescent="0.25">
      <c r="AG49" s="508"/>
      <c r="AH49" s="508"/>
      <c r="AI49" s="508"/>
      <c r="AJ49" s="508"/>
      <c r="AK49" s="508"/>
      <c r="AL49" s="508"/>
      <c r="AM49" s="508"/>
      <c r="AN49" s="508"/>
      <c r="AO49" s="508"/>
      <c r="AP49" s="508"/>
      <c r="AQ49" s="508"/>
      <c r="AR49" s="508"/>
      <c r="AS49" s="508"/>
      <c r="AT49" s="508"/>
      <c r="AU49" s="508"/>
      <c r="AV49" s="508"/>
      <c r="AW49" s="508"/>
      <c r="AX49" s="508"/>
      <c r="AY49" s="508"/>
      <c r="AZ49" s="508"/>
      <c r="BA49" s="508"/>
      <c r="BB49" s="508"/>
      <c r="BC49" s="508"/>
      <c r="BD49" s="508"/>
      <c r="BE49" s="508"/>
      <c r="BF49" s="508"/>
      <c r="BG49" s="508"/>
      <c r="BH49" s="508"/>
      <c r="BI49" s="508"/>
      <c r="BJ49" s="508"/>
      <c r="BK49" s="508"/>
      <c r="BL49" s="508"/>
      <c r="BM49" s="508"/>
      <c r="BN49" s="508"/>
      <c r="BO49" s="508"/>
      <c r="BP49" s="508"/>
      <c r="BQ49" s="508"/>
      <c r="BR49" s="508"/>
      <c r="BS49" s="508"/>
      <c r="BT49" s="508"/>
      <c r="BU49" s="508"/>
      <c r="BV49" s="508"/>
      <c r="BW49" s="508"/>
      <c r="BX49" s="508"/>
      <c r="BY49" s="508"/>
      <c r="BZ49" s="508"/>
      <c r="CA49" s="508"/>
    </row>
    <row r="50" spans="33:79" x14ac:dyDescent="0.25">
      <c r="AG50" s="508"/>
      <c r="AH50" s="508"/>
      <c r="AI50" s="508"/>
      <c r="AJ50" s="508"/>
      <c r="AK50" s="508"/>
      <c r="AL50" s="508"/>
      <c r="AM50" s="508"/>
      <c r="AN50" s="508"/>
      <c r="AO50" s="508"/>
      <c r="AP50" s="508"/>
      <c r="AQ50" s="508"/>
      <c r="AR50" s="508"/>
      <c r="AS50" s="508"/>
      <c r="AT50" s="508"/>
      <c r="AU50" s="508"/>
      <c r="AV50" s="508"/>
      <c r="AW50" s="508"/>
      <c r="AX50" s="508"/>
      <c r="AY50" s="508"/>
      <c r="AZ50" s="508"/>
      <c r="BA50" s="508"/>
      <c r="BB50" s="508"/>
      <c r="BC50" s="508"/>
      <c r="BD50" s="508"/>
      <c r="BE50" s="508"/>
      <c r="BF50" s="508"/>
      <c r="BG50" s="508"/>
      <c r="BH50" s="508"/>
      <c r="BI50" s="508"/>
      <c r="BJ50" s="508"/>
      <c r="BK50" s="508"/>
      <c r="BL50" s="508"/>
      <c r="BM50" s="508"/>
      <c r="BN50" s="508"/>
      <c r="BO50" s="508"/>
      <c r="BP50" s="508"/>
      <c r="BQ50" s="508"/>
      <c r="BR50" s="508"/>
      <c r="BS50" s="508"/>
      <c r="BT50" s="508"/>
      <c r="BU50" s="508"/>
      <c r="BV50" s="508"/>
      <c r="BW50" s="508"/>
      <c r="BX50" s="508"/>
      <c r="BY50" s="508"/>
      <c r="BZ50" s="508"/>
      <c r="CA50" s="508"/>
    </row>
    <row r="51" spans="33:79" x14ac:dyDescent="0.25">
      <c r="AG51" s="508"/>
      <c r="AH51" s="508"/>
      <c r="AI51" s="508"/>
      <c r="AJ51" s="508"/>
      <c r="AK51" s="508"/>
      <c r="AL51" s="508"/>
      <c r="AM51" s="508"/>
      <c r="AN51" s="508"/>
      <c r="AO51" s="508"/>
      <c r="AP51" s="508"/>
      <c r="AQ51" s="508"/>
      <c r="AR51" s="508"/>
      <c r="AS51" s="508"/>
      <c r="AT51" s="508"/>
      <c r="AU51" s="508"/>
      <c r="AV51" s="508"/>
      <c r="AW51" s="508"/>
      <c r="AX51" s="508"/>
      <c r="AY51" s="508"/>
      <c r="AZ51" s="508"/>
      <c r="BA51" s="508"/>
      <c r="BB51" s="508"/>
      <c r="BC51" s="508"/>
      <c r="BD51" s="508"/>
      <c r="BE51" s="508"/>
      <c r="BF51" s="508"/>
      <c r="BG51" s="508"/>
      <c r="BH51" s="508"/>
      <c r="BI51" s="508"/>
      <c r="BJ51" s="508"/>
      <c r="BK51" s="508"/>
      <c r="BL51" s="508"/>
      <c r="BM51" s="508"/>
      <c r="BN51" s="508"/>
      <c r="BO51" s="508"/>
      <c r="BP51" s="508"/>
      <c r="BQ51" s="508"/>
      <c r="BR51" s="508"/>
      <c r="BS51" s="508"/>
      <c r="BT51" s="508"/>
      <c r="BU51" s="508"/>
      <c r="BV51" s="508"/>
      <c r="BW51" s="508"/>
      <c r="BX51" s="508"/>
      <c r="BY51" s="508"/>
      <c r="BZ51" s="508"/>
      <c r="CA51" s="508"/>
    </row>
    <row r="52" spans="33:79" x14ac:dyDescent="0.25">
      <c r="AG52" s="508"/>
      <c r="AH52" s="508"/>
      <c r="AI52" s="508"/>
      <c r="AJ52" s="508"/>
      <c r="AK52" s="508"/>
      <c r="AL52" s="508"/>
      <c r="AM52" s="508"/>
      <c r="AN52" s="508"/>
      <c r="AO52" s="508"/>
      <c r="AP52" s="508"/>
      <c r="AQ52" s="508"/>
      <c r="AR52" s="508"/>
      <c r="AS52" s="508"/>
      <c r="AT52" s="508"/>
      <c r="AU52" s="508"/>
      <c r="AV52" s="508"/>
      <c r="AW52" s="508"/>
      <c r="AX52" s="508"/>
      <c r="AY52" s="508"/>
      <c r="AZ52" s="508"/>
      <c r="BA52" s="508"/>
      <c r="BB52" s="508"/>
      <c r="BC52" s="508"/>
      <c r="BD52" s="508"/>
      <c r="BE52" s="508"/>
      <c r="BF52" s="508"/>
      <c r="BG52" s="508"/>
      <c r="BH52" s="508"/>
      <c r="BI52" s="508"/>
      <c r="BJ52" s="508"/>
      <c r="BK52" s="508"/>
      <c r="BL52" s="508"/>
      <c r="BM52" s="508"/>
      <c r="BN52" s="508"/>
      <c r="BO52" s="508"/>
      <c r="BP52" s="508"/>
      <c r="BQ52" s="508"/>
      <c r="BR52" s="508"/>
      <c r="BS52" s="508"/>
      <c r="BT52" s="508"/>
      <c r="BU52" s="508"/>
      <c r="BV52" s="508"/>
      <c r="BW52" s="508"/>
      <c r="BX52" s="508"/>
      <c r="BY52" s="508"/>
      <c r="BZ52" s="508"/>
      <c r="CA52" s="508"/>
    </row>
    <row r="53" spans="33:79" x14ac:dyDescent="0.25">
      <c r="AG53" s="508"/>
      <c r="AH53" s="508"/>
      <c r="AI53" s="508"/>
      <c r="AJ53" s="508"/>
      <c r="AK53" s="508"/>
      <c r="AL53" s="508"/>
      <c r="AM53" s="508"/>
      <c r="AN53" s="508"/>
      <c r="AO53" s="508"/>
      <c r="AP53" s="508"/>
      <c r="AQ53" s="508"/>
      <c r="AR53" s="508"/>
      <c r="AS53" s="508"/>
      <c r="AT53" s="508"/>
      <c r="AU53" s="508"/>
      <c r="AV53" s="508"/>
      <c r="AW53" s="508"/>
      <c r="AX53" s="508"/>
      <c r="AY53" s="508"/>
      <c r="AZ53" s="508"/>
      <c r="BA53" s="508"/>
      <c r="BB53" s="508"/>
      <c r="BC53" s="508"/>
      <c r="BD53" s="508"/>
      <c r="BE53" s="508"/>
      <c r="BF53" s="508"/>
      <c r="BG53" s="508"/>
      <c r="BH53" s="508"/>
      <c r="BI53" s="508"/>
      <c r="BJ53" s="508"/>
      <c r="BK53" s="508"/>
      <c r="BL53" s="508"/>
      <c r="BM53" s="508"/>
      <c r="BN53" s="508"/>
      <c r="BO53" s="508"/>
      <c r="BP53" s="508"/>
      <c r="BQ53" s="508"/>
      <c r="BR53" s="508"/>
      <c r="BS53" s="508"/>
      <c r="BT53" s="508"/>
      <c r="BU53" s="508"/>
      <c r="BV53" s="508"/>
      <c r="BW53" s="508"/>
      <c r="BX53" s="508"/>
      <c r="BY53" s="508"/>
      <c r="BZ53" s="508"/>
      <c r="CA53" s="508"/>
    </row>
    <row r="54" spans="33:79" x14ac:dyDescent="0.25">
      <c r="AG54" s="508"/>
      <c r="AH54" s="508"/>
      <c r="AI54" s="508"/>
      <c r="AJ54" s="508"/>
      <c r="AK54" s="508"/>
      <c r="AL54" s="508"/>
      <c r="AM54" s="508"/>
      <c r="AN54" s="508"/>
      <c r="AO54" s="508"/>
      <c r="AP54" s="508"/>
      <c r="AQ54" s="508"/>
      <c r="AR54" s="508"/>
      <c r="AS54" s="508"/>
      <c r="AT54" s="508"/>
      <c r="AU54" s="508"/>
      <c r="AV54" s="508"/>
      <c r="AW54" s="508"/>
      <c r="AX54" s="508"/>
      <c r="AY54" s="508"/>
      <c r="AZ54" s="508"/>
      <c r="BA54" s="508"/>
      <c r="BB54" s="508"/>
      <c r="BC54" s="508"/>
      <c r="BD54" s="508"/>
      <c r="BE54" s="508"/>
      <c r="BF54" s="508"/>
      <c r="BG54" s="508"/>
      <c r="BH54" s="508"/>
      <c r="BI54" s="508"/>
      <c r="BJ54" s="508"/>
      <c r="BK54" s="508"/>
      <c r="BL54" s="508"/>
      <c r="BM54" s="508"/>
      <c r="BN54" s="508"/>
      <c r="BO54" s="508"/>
      <c r="BP54" s="508"/>
      <c r="BQ54" s="508"/>
      <c r="BR54" s="508"/>
      <c r="BS54" s="508"/>
      <c r="BT54" s="508"/>
      <c r="BU54" s="508"/>
      <c r="BV54" s="508"/>
      <c r="BW54" s="508"/>
      <c r="BX54" s="508"/>
      <c r="BY54" s="508"/>
      <c r="BZ54" s="508"/>
      <c r="CA54" s="508"/>
    </row>
    <row r="55" spans="33:79" x14ac:dyDescent="0.25">
      <c r="AG55" s="508"/>
      <c r="AH55" s="508"/>
      <c r="AI55" s="508"/>
      <c r="AJ55" s="508"/>
      <c r="AK55" s="508"/>
      <c r="AL55" s="508"/>
      <c r="AM55" s="508"/>
      <c r="AN55" s="508"/>
      <c r="AO55" s="508"/>
      <c r="AP55" s="508"/>
      <c r="AQ55" s="508"/>
      <c r="AR55" s="508"/>
      <c r="AS55" s="508"/>
      <c r="AT55" s="508"/>
      <c r="AU55" s="508"/>
      <c r="AV55" s="508"/>
      <c r="AW55" s="508"/>
      <c r="AX55" s="508"/>
      <c r="AY55" s="508"/>
      <c r="AZ55" s="508"/>
      <c r="BA55" s="508"/>
      <c r="BB55" s="508"/>
      <c r="BC55" s="508"/>
      <c r="BD55" s="508"/>
      <c r="BE55" s="508"/>
      <c r="BF55" s="508"/>
      <c r="BG55" s="508"/>
      <c r="BH55" s="508"/>
      <c r="BI55" s="508"/>
      <c r="BJ55" s="508"/>
      <c r="BK55" s="508"/>
      <c r="BL55" s="508"/>
      <c r="BM55" s="508"/>
      <c r="BN55" s="508"/>
      <c r="BO55" s="508"/>
      <c r="BP55" s="508"/>
      <c r="BQ55" s="508"/>
      <c r="BR55" s="508"/>
      <c r="BS55" s="508"/>
      <c r="BT55" s="508"/>
      <c r="BU55" s="508"/>
      <c r="BV55" s="508"/>
      <c r="BW55" s="508"/>
      <c r="BX55" s="508"/>
      <c r="BY55" s="508"/>
      <c r="BZ55" s="508"/>
      <c r="CA55" s="508"/>
    </row>
    <row r="56" spans="33:79" x14ac:dyDescent="0.25">
      <c r="AG56" s="508"/>
      <c r="AH56" s="508"/>
      <c r="AI56" s="508"/>
      <c r="AJ56" s="508"/>
      <c r="AK56" s="508"/>
      <c r="AL56" s="508"/>
      <c r="AM56" s="508"/>
      <c r="AN56" s="508"/>
      <c r="AO56" s="508"/>
      <c r="AP56" s="508"/>
      <c r="AQ56" s="508"/>
      <c r="AR56" s="508"/>
      <c r="AS56" s="508"/>
      <c r="AT56" s="508"/>
      <c r="AU56" s="508"/>
      <c r="AV56" s="508"/>
      <c r="AW56" s="508"/>
      <c r="AX56" s="508"/>
      <c r="AY56" s="508"/>
      <c r="AZ56" s="508"/>
      <c r="BA56" s="508"/>
      <c r="BB56" s="508"/>
      <c r="BC56" s="508"/>
      <c r="BD56" s="508"/>
      <c r="BE56" s="508"/>
      <c r="BF56" s="508"/>
      <c r="BG56" s="508"/>
      <c r="BH56" s="508"/>
      <c r="BI56" s="508"/>
      <c r="BJ56" s="508"/>
      <c r="BK56" s="508"/>
      <c r="BL56" s="508"/>
      <c r="BM56" s="508"/>
      <c r="BN56" s="508"/>
      <c r="BO56" s="508"/>
      <c r="BP56" s="508"/>
      <c r="BQ56" s="508"/>
      <c r="BR56" s="508"/>
      <c r="BS56" s="508"/>
      <c r="BT56" s="508"/>
      <c r="BU56" s="508"/>
      <c r="BV56" s="508"/>
      <c r="BW56" s="508"/>
      <c r="BX56" s="508"/>
      <c r="BY56" s="508"/>
      <c r="BZ56" s="508"/>
      <c r="CA56" s="508"/>
    </row>
    <row r="57" spans="33:79" x14ac:dyDescent="0.25">
      <c r="AG57" s="508"/>
      <c r="AH57" s="508"/>
      <c r="AI57" s="508"/>
      <c r="AJ57" s="508"/>
      <c r="AK57" s="508"/>
      <c r="AL57" s="508"/>
      <c r="AM57" s="508"/>
      <c r="AN57" s="508"/>
      <c r="AO57" s="508"/>
      <c r="AP57" s="508"/>
      <c r="AQ57" s="508"/>
      <c r="AR57" s="508"/>
      <c r="AS57" s="508"/>
      <c r="AT57" s="508"/>
      <c r="AU57" s="508"/>
      <c r="AV57" s="508"/>
      <c r="AW57" s="508"/>
      <c r="AX57" s="508"/>
      <c r="AY57" s="508"/>
      <c r="AZ57" s="508"/>
      <c r="BA57" s="508"/>
      <c r="BB57" s="508"/>
      <c r="BC57" s="508"/>
      <c r="BD57" s="508"/>
      <c r="BE57" s="508"/>
      <c r="BF57" s="508"/>
      <c r="BG57" s="508"/>
      <c r="BH57" s="508"/>
      <c r="BI57" s="508"/>
      <c r="BJ57" s="508"/>
      <c r="BK57" s="508"/>
      <c r="BL57" s="508"/>
      <c r="BM57" s="508"/>
      <c r="BN57" s="508"/>
      <c r="BO57" s="508"/>
      <c r="BP57" s="508"/>
      <c r="BQ57" s="508"/>
      <c r="BR57" s="508"/>
      <c r="BS57" s="508"/>
      <c r="BT57" s="508"/>
      <c r="BU57" s="508"/>
      <c r="BV57" s="508"/>
      <c r="BW57" s="508"/>
      <c r="BX57" s="508"/>
      <c r="BY57" s="508"/>
      <c r="BZ57" s="508"/>
      <c r="CA57" s="508"/>
    </row>
    <row r="58" spans="33:79" x14ac:dyDescent="0.25">
      <c r="AG58" s="508"/>
      <c r="AH58" s="508"/>
      <c r="AI58" s="508"/>
      <c r="AJ58" s="508"/>
      <c r="AK58" s="508"/>
      <c r="AL58" s="508"/>
      <c r="AM58" s="508"/>
      <c r="AN58" s="508"/>
      <c r="AO58" s="508"/>
      <c r="AP58" s="508"/>
      <c r="AQ58" s="508"/>
      <c r="AR58" s="508"/>
      <c r="AS58" s="508"/>
      <c r="AT58" s="508"/>
      <c r="AU58" s="508"/>
      <c r="AV58" s="508"/>
      <c r="AW58" s="508"/>
      <c r="AX58" s="508"/>
      <c r="AY58" s="508"/>
      <c r="AZ58" s="508"/>
      <c r="BA58" s="508"/>
      <c r="BB58" s="508"/>
      <c r="BC58" s="508"/>
      <c r="BD58" s="508"/>
      <c r="BE58" s="508"/>
      <c r="BF58" s="508"/>
      <c r="BG58" s="508"/>
      <c r="BH58" s="508"/>
      <c r="BI58" s="508"/>
      <c r="BJ58" s="508"/>
      <c r="BK58" s="508"/>
      <c r="BL58" s="508"/>
      <c r="BM58" s="508"/>
      <c r="BN58" s="508"/>
      <c r="BO58" s="508"/>
      <c r="BP58" s="508"/>
      <c r="BQ58" s="508"/>
      <c r="BR58" s="508"/>
      <c r="BS58" s="508"/>
      <c r="BT58" s="508"/>
      <c r="BU58" s="508"/>
      <c r="BV58" s="508"/>
      <c r="BW58" s="508"/>
      <c r="BX58" s="508"/>
      <c r="BY58" s="508"/>
      <c r="BZ58" s="508"/>
      <c r="CA58" s="508"/>
    </row>
    <row r="59" spans="33:79" x14ac:dyDescent="0.25">
      <c r="AG59" s="508"/>
      <c r="AH59" s="508"/>
      <c r="AI59" s="508"/>
      <c r="AJ59" s="508"/>
      <c r="AK59" s="508"/>
      <c r="AL59" s="508"/>
      <c r="AM59" s="508"/>
      <c r="AN59" s="508"/>
      <c r="AO59" s="508"/>
      <c r="AP59" s="508"/>
      <c r="AQ59" s="508"/>
      <c r="AR59" s="508"/>
      <c r="AS59" s="508"/>
      <c r="AT59" s="508"/>
      <c r="AU59" s="508"/>
      <c r="AV59" s="508"/>
      <c r="AW59" s="508"/>
      <c r="AX59" s="508"/>
      <c r="AY59" s="508"/>
      <c r="AZ59" s="508"/>
      <c r="BA59" s="508"/>
      <c r="BB59" s="508"/>
      <c r="BC59" s="508"/>
      <c r="BD59" s="508"/>
      <c r="BE59" s="508"/>
      <c r="BF59" s="508"/>
      <c r="BG59" s="508"/>
      <c r="BH59" s="508"/>
      <c r="BI59" s="508"/>
      <c r="BJ59" s="508"/>
      <c r="BK59" s="508"/>
      <c r="BL59" s="508"/>
      <c r="BM59" s="508"/>
      <c r="BN59" s="508"/>
      <c r="BO59" s="508"/>
      <c r="BP59" s="508"/>
      <c r="BQ59" s="508"/>
      <c r="BR59" s="508"/>
      <c r="BS59" s="508"/>
      <c r="BT59" s="508"/>
      <c r="BU59" s="508"/>
      <c r="BV59" s="508"/>
      <c r="BW59" s="508"/>
      <c r="BX59" s="508"/>
      <c r="BY59" s="508"/>
      <c r="BZ59" s="508"/>
      <c r="CA59" s="508"/>
    </row>
    <row r="60" spans="33:79" x14ac:dyDescent="0.25">
      <c r="AG60" s="508"/>
      <c r="AH60" s="508"/>
      <c r="AI60" s="508"/>
      <c r="AJ60" s="508"/>
      <c r="AK60" s="508"/>
      <c r="AL60" s="508"/>
      <c r="AM60" s="508"/>
      <c r="AN60" s="508"/>
      <c r="AO60" s="508"/>
      <c r="AP60" s="508"/>
      <c r="AQ60" s="508"/>
      <c r="AR60" s="508"/>
      <c r="AS60" s="508"/>
      <c r="AT60" s="508"/>
      <c r="AU60" s="508"/>
      <c r="AV60" s="508"/>
      <c r="AW60" s="508"/>
      <c r="AX60" s="508"/>
      <c r="AY60" s="508"/>
      <c r="AZ60" s="508"/>
      <c r="BA60" s="508"/>
      <c r="BB60" s="508"/>
      <c r="BC60" s="508"/>
      <c r="BD60" s="508"/>
      <c r="BE60" s="508"/>
      <c r="BF60" s="508"/>
      <c r="BG60" s="508"/>
      <c r="BH60" s="508"/>
      <c r="BI60" s="508"/>
      <c r="BJ60" s="508"/>
      <c r="BK60" s="508"/>
      <c r="BL60" s="508"/>
      <c r="BM60" s="508"/>
      <c r="BN60" s="508"/>
      <c r="BO60" s="508"/>
      <c r="BP60" s="508"/>
      <c r="BQ60" s="508"/>
      <c r="BR60" s="508"/>
      <c r="BS60" s="508"/>
      <c r="BT60" s="508"/>
      <c r="BU60" s="508"/>
      <c r="BV60" s="508"/>
      <c r="BW60" s="508"/>
      <c r="BX60" s="508"/>
      <c r="BY60" s="508"/>
      <c r="BZ60" s="508"/>
      <c r="CA60" s="508"/>
    </row>
    <row r="61" spans="33:79" x14ac:dyDescent="0.25">
      <c r="AG61" s="508"/>
      <c r="AH61" s="508"/>
      <c r="AI61" s="508"/>
      <c r="AJ61" s="508"/>
      <c r="AK61" s="508"/>
      <c r="AL61" s="508"/>
      <c r="AM61" s="508"/>
      <c r="AN61" s="508"/>
      <c r="AO61" s="508"/>
      <c r="AP61" s="508"/>
      <c r="AQ61" s="508"/>
      <c r="AR61" s="508"/>
      <c r="AS61" s="508"/>
      <c r="AT61" s="508"/>
      <c r="AU61" s="508"/>
      <c r="AV61" s="508"/>
      <c r="AW61" s="508"/>
      <c r="AX61" s="508"/>
      <c r="AY61" s="508"/>
      <c r="AZ61" s="508"/>
      <c r="BA61" s="508"/>
      <c r="BB61" s="508"/>
      <c r="BC61" s="508"/>
      <c r="BD61" s="508"/>
      <c r="BE61" s="508"/>
      <c r="BF61" s="508"/>
      <c r="BG61" s="508"/>
      <c r="BH61" s="508"/>
      <c r="BI61" s="508"/>
      <c r="BJ61" s="508"/>
      <c r="BK61" s="508"/>
      <c r="BL61" s="508"/>
      <c r="BM61" s="508"/>
      <c r="BN61" s="508"/>
      <c r="BO61" s="508"/>
      <c r="BP61" s="508"/>
      <c r="BQ61" s="508"/>
      <c r="BR61" s="508"/>
      <c r="BS61" s="508"/>
      <c r="BT61" s="508"/>
      <c r="BU61" s="508"/>
      <c r="BV61" s="508"/>
      <c r="BW61" s="508"/>
      <c r="BX61" s="508"/>
      <c r="BY61" s="508"/>
      <c r="BZ61" s="508"/>
      <c r="CA61" s="508"/>
    </row>
  </sheetData>
  <sheetProtection algorithmName="SHA-512" hashValue="MO/DYK+4wR9osupGGmEUYt1SVybfaVSRM5JR67k1sd6kIBjyCJN597IBntQLziHyLgVnZqQy/22rhxS4MAEbkg==" saltValue="tV6L4AmJybQ9F0uyCGoRNQ=="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00"/>
  </sheetPr>
  <dimension ref="A1:DJ61"/>
  <sheetViews>
    <sheetView zoomScale="60" zoomScaleNormal="60" workbookViewId="0">
      <selection activeCell="D46" sqref="D46:X46"/>
    </sheetView>
  </sheetViews>
  <sheetFormatPr defaultColWidth="8" defaultRowHeight="13.2" x14ac:dyDescent="0.25"/>
  <cols>
    <col min="1" max="1" width="6.5546875" style="507" bestFit="1" customWidth="1"/>
    <col min="2" max="2" width="24.5546875" style="516" customWidth="1"/>
    <col min="3" max="3" width="16.5546875" style="516" customWidth="1"/>
    <col min="4" max="28" width="16.5546875" style="506" customWidth="1"/>
    <col min="29" max="32" width="16.5546875" style="507" customWidth="1"/>
    <col min="33" max="33" width="23.44140625" style="509" bestFit="1" customWidth="1"/>
    <col min="34" max="34" width="16.5546875" style="509" customWidth="1"/>
    <col min="35" max="16384" width="8" style="509"/>
  </cols>
  <sheetData>
    <row r="1" spans="1:114" ht="15.6" x14ac:dyDescent="0.3">
      <c r="A1" s="475" t="s">
        <v>1306</v>
      </c>
      <c r="B1" s="504"/>
      <c r="C1" s="505"/>
      <c r="D1" s="478"/>
      <c r="E1" s="505"/>
      <c r="F1" s="505"/>
      <c r="AB1" s="507"/>
      <c r="AC1" s="508"/>
      <c r="AD1" s="508"/>
      <c r="AE1" s="508"/>
      <c r="AF1" s="508"/>
      <c r="AG1" s="508"/>
      <c r="AH1" s="508"/>
      <c r="AI1" s="508"/>
      <c r="AJ1" s="508"/>
      <c r="AK1" s="508"/>
      <c r="AL1" s="508"/>
      <c r="AM1" s="508"/>
      <c r="AN1" s="508"/>
      <c r="AO1" s="508"/>
      <c r="AP1" s="508"/>
      <c r="AQ1" s="508"/>
      <c r="AR1" s="508"/>
      <c r="AS1" s="508"/>
      <c r="AT1" s="508"/>
      <c r="AU1" s="508"/>
      <c r="AV1" s="508"/>
      <c r="AW1" s="508"/>
      <c r="AX1" s="508"/>
      <c r="AY1" s="508"/>
      <c r="AZ1" s="508"/>
      <c r="BA1" s="508"/>
      <c r="BB1" s="508"/>
      <c r="BC1" s="508"/>
      <c r="BD1" s="508"/>
      <c r="BE1" s="508"/>
      <c r="BF1" s="508"/>
      <c r="BG1" s="508"/>
      <c r="BH1" s="508"/>
      <c r="BI1" s="508"/>
      <c r="BJ1" s="508"/>
      <c r="BK1" s="508"/>
      <c r="BL1" s="508"/>
      <c r="BM1" s="508"/>
      <c r="BN1" s="508"/>
      <c r="BO1" s="508"/>
      <c r="BP1" s="508"/>
      <c r="BQ1" s="508"/>
      <c r="BR1" s="508"/>
      <c r="BS1" s="508"/>
      <c r="BT1" s="508"/>
      <c r="BU1" s="508"/>
      <c r="BV1" s="508"/>
      <c r="BW1" s="508"/>
      <c r="BX1" s="508"/>
      <c r="BY1" s="508"/>
      <c r="BZ1" s="508"/>
      <c r="CA1" s="508"/>
      <c r="CB1" s="508"/>
      <c r="CC1" s="508"/>
      <c r="CD1" s="508"/>
      <c r="CE1" s="508"/>
      <c r="CF1" s="508"/>
      <c r="CG1" s="508"/>
      <c r="CH1" s="508"/>
      <c r="CI1" s="508"/>
      <c r="CJ1" s="508"/>
      <c r="CK1" s="508"/>
      <c r="CL1" s="508"/>
      <c r="CM1" s="508"/>
      <c r="CN1" s="508"/>
      <c r="CO1" s="508"/>
      <c r="CP1" s="508"/>
      <c r="CQ1" s="508"/>
      <c r="CR1" s="508"/>
      <c r="CS1" s="508"/>
      <c r="CT1" s="508"/>
      <c r="CU1" s="508"/>
      <c r="CV1" s="508"/>
      <c r="CW1" s="508"/>
      <c r="CX1" s="508"/>
      <c r="CY1" s="508"/>
      <c r="CZ1" s="508"/>
      <c r="DA1" s="508"/>
      <c r="DB1" s="508"/>
      <c r="DC1" s="508"/>
      <c r="DD1" s="508"/>
      <c r="DE1" s="508"/>
      <c r="DF1" s="508"/>
      <c r="DG1" s="508"/>
      <c r="DH1" s="508"/>
      <c r="DI1" s="508"/>
      <c r="DJ1" s="508"/>
    </row>
    <row r="2" spans="1:114" x14ac:dyDescent="0.25">
      <c r="A2" s="201" t="s">
        <v>26</v>
      </c>
      <c r="B2" s="201"/>
      <c r="C2" s="445" t="str">
        <f>'Schedule 2_Balance Sheet'!C2</f>
        <v>Tufts Associated Health Plans, Inc. (TAHMO)</v>
      </c>
      <c r="D2" s="446"/>
      <c r="E2" s="446"/>
      <c r="F2" s="447"/>
      <c r="AB2" s="507"/>
      <c r="AC2" s="508"/>
      <c r="AD2" s="508"/>
      <c r="AE2" s="508"/>
      <c r="AF2" s="508"/>
      <c r="AG2" s="508"/>
      <c r="AH2" s="508"/>
      <c r="AI2" s="508"/>
      <c r="AJ2" s="508"/>
      <c r="AK2" s="508"/>
      <c r="AL2" s="508"/>
      <c r="AM2" s="508"/>
      <c r="AN2" s="508"/>
      <c r="AO2" s="508"/>
      <c r="AP2" s="508"/>
      <c r="AQ2" s="508"/>
      <c r="AR2" s="508"/>
      <c r="AS2" s="508"/>
      <c r="AT2" s="508"/>
      <c r="AU2" s="508"/>
      <c r="AV2" s="508"/>
      <c r="AW2" s="508"/>
      <c r="AX2" s="508"/>
      <c r="AY2" s="508"/>
      <c r="AZ2" s="508"/>
      <c r="BA2" s="508"/>
      <c r="BB2" s="508"/>
      <c r="BC2" s="508"/>
      <c r="BD2" s="508"/>
      <c r="BE2" s="508"/>
      <c r="BF2" s="508"/>
      <c r="BG2" s="508"/>
      <c r="BH2" s="508"/>
      <c r="BI2" s="508"/>
      <c r="BJ2" s="508"/>
      <c r="BK2" s="508"/>
      <c r="BL2" s="508"/>
      <c r="BM2" s="508"/>
      <c r="BN2" s="508"/>
      <c r="BO2" s="508"/>
      <c r="BP2" s="508"/>
      <c r="BQ2" s="508"/>
      <c r="BR2" s="508"/>
      <c r="BS2" s="508"/>
      <c r="BT2" s="508"/>
      <c r="BU2" s="508"/>
      <c r="BV2" s="508"/>
      <c r="BW2" s="508"/>
      <c r="BX2" s="508"/>
      <c r="BY2" s="508"/>
      <c r="BZ2" s="508"/>
      <c r="CA2" s="508"/>
      <c r="CB2" s="508"/>
      <c r="CC2" s="508"/>
      <c r="CD2" s="508"/>
      <c r="CE2" s="508"/>
      <c r="CF2" s="508"/>
      <c r="CG2" s="508"/>
      <c r="CH2" s="508"/>
      <c r="CI2" s="508"/>
      <c r="CJ2" s="508"/>
      <c r="CK2" s="508"/>
      <c r="CL2" s="508"/>
      <c r="CM2" s="508"/>
      <c r="CN2" s="508"/>
      <c r="CO2" s="508"/>
      <c r="CP2" s="508"/>
      <c r="CQ2" s="508"/>
      <c r="CR2" s="508"/>
      <c r="CS2" s="508"/>
      <c r="CT2" s="508"/>
      <c r="CU2" s="508"/>
      <c r="CV2" s="508"/>
      <c r="CW2" s="508"/>
      <c r="CX2" s="508"/>
      <c r="CY2" s="508"/>
      <c r="CZ2" s="508"/>
      <c r="DA2" s="508"/>
      <c r="DB2" s="508"/>
      <c r="DC2" s="508"/>
      <c r="DD2" s="508"/>
      <c r="DE2" s="508"/>
      <c r="DF2" s="508"/>
      <c r="DG2" s="508"/>
      <c r="DH2" s="508"/>
      <c r="DI2" s="508"/>
      <c r="DJ2" s="508"/>
    </row>
    <row r="3" spans="1:114" x14ac:dyDescent="0.25">
      <c r="A3" s="201" t="s">
        <v>0</v>
      </c>
      <c r="B3" s="201"/>
      <c r="C3" s="580" t="str">
        <f>'Schedule 2_Balance Sheet'!C3</f>
        <v>01/01/2024 - 12/31/2024</v>
      </c>
      <c r="D3" s="581"/>
      <c r="E3" s="581"/>
      <c r="F3" s="582"/>
      <c r="AB3" s="507"/>
      <c r="AC3" s="508"/>
      <c r="AD3" s="508"/>
      <c r="AE3" s="508"/>
      <c r="AF3" s="508"/>
      <c r="AG3" s="508"/>
      <c r="AH3" s="508"/>
      <c r="AI3" s="508"/>
      <c r="AJ3" s="508"/>
      <c r="AK3" s="508"/>
      <c r="AL3" s="508"/>
      <c r="AM3" s="508"/>
      <c r="AN3" s="508"/>
      <c r="AO3" s="508"/>
      <c r="AP3" s="508"/>
      <c r="AQ3" s="508"/>
      <c r="AR3" s="508"/>
      <c r="AS3" s="508"/>
      <c r="AT3" s="508"/>
      <c r="AU3" s="508"/>
      <c r="AV3" s="508"/>
      <c r="AW3" s="508"/>
      <c r="AX3" s="508"/>
      <c r="AY3" s="508"/>
      <c r="AZ3" s="508"/>
      <c r="BA3" s="508"/>
      <c r="BB3" s="508"/>
      <c r="BC3" s="508"/>
      <c r="BD3" s="508"/>
      <c r="BE3" s="508"/>
      <c r="BF3" s="508"/>
      <c r="BG3" s="508"/>
      <c r="BH3" s="508"/>
      <c r="BI3" s="508"/>
      <c r="BJ3" s="508"/>
      <c r="BK3" s="508"/>
      <c r="BL3" s="508"/>
      <c r="BM3" s="508"/>
      <c r="BN3" s="508"/>
      <c r="BO3" s="508"/>
      <c r="BP3" s="508"/>
      <c r="BQ3" s="508"/>
      <c r="BR3" s="508"/>
      <c r="BS3" s="508"/>
      <c r="BT3" s="508"/>
      <c r="BU3" s="508"/>
      <c r="BV3" s="508"/>
      <c r="BW3" s="508"/>
      <c r="BX3" s="508"/>
      <c r="BY3" s="508"/>
      <c r="BZ3" s="508"/>
      <c r="CA3" s="508"/>
      <c r="CB3" s="508"/>
      <c r="CC3" s="508"/>
      <c r="CD3" s="508"/>
      <c r="CE3" s="508"/>
      <c r="CF3" s="508"/>
      <c r="CG3" s="508"/>
      <c r="CH3" s="508"/>
      <c r="CI3" s="508"/>
      <c r="CJ3" s="508"/>
      <c r="CK3" s="508"/>
      <c r="CL3" s="508"/>
      <c r="CM3" s="508"/>
      <c r="CN3" s="508"/>
      <c r="CO3" s="508"/>
      <c r="CP3" s="508"/>
      <c r="CQ3" s="508"/>
      <c r="CR3" s="508"/>
      <c r="CS3" s="508"/>
      <c r="CT3" s="508"/>
      <c r="CU3" s="508"/>
      <c r="CV3" s="508"/>
      <c r="CW3" s="508"/>
      <c r="CX3" s="508"/>
      <c r="CY3" s="508"/>
      <c r="CZ3" s="508"/>
      <c r="DA3" s="508"/>
      <c r="DB3" s="508"/>
      <c r="DC3" s="508"/>
      <c r="DD3" s="508"/>
      <c r="DE3" s="508"/>
      <c r="DF3" s="508"/>
      <c r="DG3" s="508"/>
      <c r="DH3" s="508"/>
      <c r="DI3" s="508"/>
      <c r="DJ3" s="508"/>
    </row>
    <row r="4" spans="1:114" x14ac:dyDescent="0.25">
      <c r="A4" s="201" t="s">
        <v>27</v>
      </c>
      <c r="B4" s="201"/>
      <c r="C4" s="449">
        <f>'Schedule 2_Balance Sheet'!C4</f>
        <v>45657</v>
      </c>
      <c r="D4" s="446"/>
      <c r="E4" s="446"/>
      <c r="F4" s="447"/>
      <c r="AB4" s="507"/>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c r="CA4" s="508"/>
      <c r="CB4" s="508"/>
      <c r="CC4" s="508"/>
      <c r="CD4" s="508"/>
      <c r="CE4" s="508"/>
      <c r="CF4" s="508"/>
      <c r="CG4" s="508"/>
      <c r="CH4" s="508"/>
      <c r="CI4" s="508"/>
      <c r="CJ4" s="508"/>
      <c r="CK4" s="508"/>
      <c r="CL4" s="508"/>
      <c r="CM4" s="508"/>
      <c r="CN4" s="508"/>
      <c r="CO4" s="508"/>
      <c r="CP4" s="508"/>
      <c r="CQ4" s="508"/>
      <c r="CR4" s="508"/>
      <c r="CS4" s="508"/>
      <c r="CT4" s="508"/>
      <c r="CU4" s="508"/>
      <c r="CV4" s="508"/>
      <c r="CW4" s="508"/>
      <c r="CX4" s="508"/>
      <c r="CY4" s="508"/>
      <c r="CZ4" s="508"/>
      <c r="DA4" s="508"/>
      <c r="DB4" s="508"/>
      <c r="DC4" s="508"/>
      <c r="DD4" s="508"/>
      <c r="DE4" s="508"/>
      <c r="DF4" s="508"/>
      <c r="DG4" s="508"/>
      <c r="DH4" s="508"/>
      <c r="DI4" s="508"/>
      <c r="DJ4" s="508"/>
    </row>
    <row r="5" spans="1:114" x14ac:dyDescent="0.25">
      <c r="A5" s="201" t="s">
        <v>28</v>
      </c>
      <c r="B5" s="201"/>
      <c r="C5" s="445" t="str">
        <f>'Schedule 2_Balance Sheet'!C5</f>
        <v>Roshni Parikh</v>
      </c>
      <c r="D5" s="446"/>
      <c r="E5" s="446"/>
      <c r="F5" s="447"/>
      <c r="AB5" s="507"/>
      <c r="AC5" s="508"/>
      <c r="AD5" s="508"/>
      <c r="AE5" s="508"/>
      <c r="AF5" s="508"/>
      <c r="AG5" s="508"/>
      <c r="AH5" s="508"/>
      <c r="AI5" s="508"/>
      <c r="AJ5" s="508"/>
      <c r="AK5" s="508"/>
      <c r="AL5" s="508"/>
      <c r="AM5" s="508"/>
      <c r="AN5" s="508"/>
      <c r="AO5" s="508"/>
      <c r="AP5" s="508"/>
      <c r="AQ5" s="508"/>
      <c r="AR5" s="508"/>
      <c r="AS5" s="508"/>
      <c r="AT5" s="508"/>
      <c r="AU5" s="508"/>
      <c r="AV5" s="508"/>
      <c r="AW5" s="508"/>
      <c r="AX5" s="508"/>
      <c r="AY5" s="508"/>
      <c r="AZ5" s="508"/>
      <c r="BA5" s="508"/>
      <c r="BB5" s="508"/>
      <c r="BC5" s="508"/>
      <c r="BD5" s="508"/>
      <c r="BE5" s="508"/>
      <c r="BF5" s="508"/>
      <c r="BG5" s="508"/>
      <c r="BH5" s="508"/>
      <c r="BI5" s="508"/>
      <c r="BJ5" s="508"/>
      <c r="BK5" s="508"/>
      <c r="BL5" s="508"/>
      <c r="BM5" s="508"/>
      <c r="BN5" s="508"/>
      <c r="BO5" s="508"/>
      <c r="BP5" s="508"/>
      <c r="BQ5" s="508"/>
      <c r="BR5" s="508"/>
      <c r="BS5" s="508"/>
      <c r="BT5" s="508"/>
      <c r="BU5" s="508"/>
      <c r="BV5" s="508"/>
      <c r="BW5" s="508"/>
      <c r="BX5" s="508"/>
      <c r="BY5" s="508"/>
      <c r="BZ5" s="508"/>
      <c r="CA5" s="508"/>
      <c r="CB5" s="508"/>
      <c r="CC5" s="508"/>
      <c r="CD5" s="508"/>
      <c r="CE5" s="508"/>
      <c r="CF5" s="508"/>
      <c r="CG5" s="508"/>
      <c r="CH5" s="508"/>
      <c r="CI5" s="508"/>
      <c r="CJ5" s="508"/>
      <c r="CK5" s="508"/>
      <c r="CL5" s="508"/>
      <c r="CM5" s="508"/>
      <c r="CN5" s="508"/>
      <c r="CO5" s="508"/>
      <c r="CP5" s="508"/>
      <c r="CQ5" s="508"/>
      <c r="CR5" s="508"/>
      <c r="CS5" s="508"/>
      <c r="CT5" s="508"/>
      <c r="CU5" s="508"/>
      <c r="CV5" s="508"/>
      <c r="CW5" s="508"/>
      <c r="CX5" s="508"/>
      <c r="CY5" s="508"/>
      <c r="CZ5" s="508"/>
      <c r="DA5" s="508"/>
      <c r="DB5" s="508"/>
      <c r="DC5" s="508"/>
      <c r="DD5" s="508"/>
      <c r="DE5" s="508"/>
      <c r="DF5" s="508"/>
      <c r="DG5" s="508"/>
      <c r="DH5" s="508"/>
      <c r="DI5" s="508"/>
      <c r="DJ5" s="508"/>
    </row>
    <row r="6" spans="1:114" x14ac:dyDescent="0.25">
      <c r="A6" s="201" t="s">
        <v>29</v>
      </c>
      <c r="B6" s="201"/>
      <c r="C6" s="449">
        <f>'Schedule 2_Balance Sheet'!C6</f>
        <v>45657</v>
      </c>
      <c r="D6" s="446"/>
      <c r="E6" s="446"/>
      <c r="F6" s="447"/>
      <c r="AB6" s="507"/>
      <c r="AC6" s="508"/>
      <c r="AD6" s="508"/>
      <c r="AE6" s="508"/>
      <c r="AF6" s="508"/>
      <c r="AG6" s="508"/>
      <c r="AH6" s="508"/>
      <c r="AI6" s="508"/>
      <c r="AJ6" s="508"/>
      <c r="AK6" s="508"/>
      <c r="AL6" s="508"/>
      <c r="AM6" s="508"/>
      <c r="AN6" s="508"/>
      <c r="AO6" s="508"/>
      <c r="AP6" s="508"/>
      <c r="AQ6" s="508"/>
      <c r="AR6" s="508"/>
      <c r="AS6" s="508"/>
      <c r="AT6" s="508"/>
      <c r="AU6" s="508"/>
      <c r="AV6" s="508"/>
      <c r="AW6" s="508"/>
      <c r="AX6" s="508"/>
      <c r="AY6" s="508"/>
      <c r="AZ6" s="508"/>
      <c r="BA6" s="508"/>
      <c r="BB6" s="508"/>
      <c r="BC6" s="508"/>
      <c r="BD6" s="508"/>
      <c r="BE6" s="508"/>
      <c r="BF6" s="508"/>
      <c r="BG6" s="508"/>
      <c r="BH6" s="508"/>
      <c r="BI6" s="508"/>
      <c r="BJ6" s="508"/>
      <c r="BK6" s="508"/>
      <c r="BL6" s="508"/>
      <c r="BM6" s="508"/>
      <c r="BN6" s="508"/>
      <c r="BO6" s="508"/>
      <c r="BP6" s="508"/>
      <c r="BQ6" s="508"/>
      <c r="BR6" s="508"/>
      <c r="BS6" s="508"/>
      <c r="BT6" s="508"/>
      <c r="BU6" s="508"/>
      <c r="BV6" s="508"/>
      <c r="BW6" s="508"/>
      <c r="BX6" s="508"/>
      <c r="BY6" s="508"/>
      <c r="BZ6" s="508"/>
      <c r="CA6" s="508"/>
      <c r="CB6" s="508"/>
      <c r="CC6" s="508"/>
      <c r="CD6" s="508"/>
      <c r="CE6" s="508"/>
      <c r="CF6" s="508"/>
      <c r="CG6" s="508"/>
      <c r="CH6" s="508"/>
      <c r="CI6" s="508"/>
      <c r="CJ6" s="508"/>
      <c r="CK6" s="508"/>
      <c r="CL6" s="508"/>
      <c r="CM6" s="508"/>
      <c r="CN6" s="508"/>
      <c r="CO6" s="508"/>
      <c r="CP6" s="508"/>
      <c r="CQ6" s="508"/>
      <c r="CR6" s="508"/>
      <c r="CS6" s="508"/>
      <c r="CT6" s="508"/>
      <c r="CU6" s="508"/>
      <c r="CV6" s="508"/>
      <c r="CW6" s="508"/>
      <c r="CX6" s="508"/>
      <c r="CY6" s="508"/>
      <c r="CZ6" s="508"/>
      <c r="DA6" s="508"/>
      <c r="DB6" s="508"/>
      <c r="DC6" s="508"/>
      <c r="DD6" s="508"/>
      <c r="DE6" s="508"/>
      <c r="DF6" s="508"/>
      <c r="DG6" s="508"/>
      <c r="DH6" s="508"/>
      <c r="DI6" s="508"/>
      <c r="DJ6" s="508"/>
    </row>
    <row r="7" spans="1:114" ht="13.8" thickBot="1" x14ac:dyDescent="0.3">
      <c r="A7" s="199" t="s">
        <v>542</v>
      </c>
      <c r="B7" s="387"/>
      <c r="C7" s="387"/>
      <c r="D7" s="387"/>
      <c r="E7" s="387"/>
      <c r="F7" s="387"/>
      <c r="G7" s="387"/>
      <c r="H7" s="387"/>
      <c r="AB7" s="507"/>
      <c r="AC7" s="508"/>
      <c r="AD7" s="508"/>
      <c r="AE7" s="508"/>
      <c r="AF7" s="508"/>
      <c r="AG7" s="508"/>
      <c r="AH7" s="508"/>
      <c r="AI7" s="508"/>
      <c r="AJ7" s="508"/>
      <c r="AK7" s="508"/>
      <c r="AL7" s="508"/>
      <c r="AM7" s="508"/>
      <c r="AN7" s="508"/>
      <c r="AO7" s="508"/>
      <c r="AP7" s="508"/>
      <c r="AQ7" s="508"/>
      <c r="AR7" s="508"/>
      <c r="AS7" s="508"/>
      <c r="AT7" s="508"/>
      <c r="AU7" s="508"/>
      <c r="AV7" s="508"/>
      <c r="AW7" s="508"/>
      <c r="AX7" s="508"/>
      <c r="AY7" s="508"/>
      <c r="AZ7" s="508"/>
      <c r="BA7" s="508"/>
      <c r="BB7" s="508"/>
      <c r="BC7" s="508"/>
      <c r="BD7" s="508"/>
      <c r="BE7" s="508"/>
      <c r="BF7" s="508"/>
      <c r="BG7" s="508"/>
      <c r="BH7" s="508"/>
      <c r="BI7" s="508"/>
      <c r="BJ7" s="508"/>
      <c r="BK7" s="508"/>
      <c r="BL7" s="508"/>
      <c r="BM7" s="508"/>
      <c r="BN7" s="508"/>
      <c r="BO7" s="508"/>
      <c r="BP7" s="508"/>
      <c r="BQ7" s="508"/>
      <c r="BR7" s="508"/>
      <c r="BS7" s="508"/>
      <c r="BT7" s="508"/>
      <c r="BU7" s="508"/>
      <c r="BV7" s="508"/>
      <c r="BW7" s="508"/>
      <c r="BX7" s="508"/>
      <c r="BY7" s="508"/>
      <c r="BZ7" s="508"/>
      <c r="CA7" s="508"/>
      <c r="CB7" s="508"/>
      <c r="CC7" s="508"/>
      <c r="CD7" s="508"/>
      <c r="CE7" s="508"/>
      <c r="CF7" s="508"/>
      <c r="CG7" s="508"/>
      <c r="CH7" s="508"/>
      <c r="CI7" s="508"/>
      <c r="CJ7" s="508"/>
      <c r="CK7" s="508"/>
      <c r="CL7" s="508"/>
      <c r="CM7" s="508"/>
      <c r="CN7" s="508"/>
      <c r="CO7" s="508"/>
      <c r="CP7" s="508"/>
      <c r="CQ7" s="508"/>
      <c r="CR7" s="508"/>
      <c r="CS7" s="508"/>
      <c r="CT7" s="508"/>
      <c r="CU7" s="508"/>
      <c r="CV7" s="508"/>
      <c r="CW7" s="508"/>
      <c r="CX7" s="508"/>
      <c r="CY7" s="508"/>
      <c r="CZ7" s="508"/>
      <c r="DA7" s="508"/>
      <c r="DB7" s="508"/>
      <c r="DC7" s="508"/>
      <c r="DD7" s="508"/>
      <c r="DE7" s="508"/>
      <c r="DF7" s="508"/>
      <c r="DG7" s="508"/>
      <c r="DH7" s="508"/>
      <c r="DI7" s="508"/>
      <c r="DJ7" s="508"/>
    </row>
    <row r="8" spans="1:114" s="510" customFormat="1" ht="16.5" customHeight="1" thickBot="1" x14ac:dyDescent="0.3">
      <c r="A8" s="557"/>
      <c r="B8" s="558"/>
      <c r="C8" s="559" t="s">
        <v>519</v>
      </c>
      <c r="D8" s="559"/>
      <c r="E8" s="560"/>
      <c r="F8" s="560"/>
      <c r="G8" s="560"/>
      <c r="H8" s="559"/>
      <c r="I8" s="559"/>
      <c r="J8" s="560"/>
      <c r="K8" s="560"/>
      <c r="L8" s="561"/>
      <c r="M8" s="559" t="s">
        <v>519</v>
      </c>
      <c r="N8" s="559"/>
      <c r="O8" s="560"/>
      <c r="P8" s="561"/>
      <c r="Q8" s="560"/>
      <c r="R8" s="559"/>
      <c r="S8" s="559"/>
      <c r="T8" s="560"/>
      <c r="U8" s="560"/>
      <c r="V8" s="561"/>
      <c r="W8" s="559" t="s">
        <v>519</v>
      </c>
      <c r="X8" s="559"/>
      <c r="Y8" s="560"/>
      <c r="Z8" s="560"/>
      <c r="AA8" s="560"/>
      <c r="AB8" s="562"/>
      <c r="AC8" s="559"/>
      <c r="AD8" s="559"/>
      <c r="AE8" s="559"/>
      <c r="AF8" s="585"/>
      <c r="AG8" s="563"/>
      <c r="AH8" s="564"/>
    </row>
    <row r="9" spans="1:114" s="511" customFormat="1" ht="27" thickBot="1" x14ac:dyDescent="0.3">
      <c r="A9" s="553" t="s">
        <v>226</v>
      </c>
      <c r="B9" s="554" t="s">
        <v>520</v>
      </c>
      <c r="C9" s="545">
        <f t="array" ref="C9:AF9">TRANSPOSE(B10:B39)</f>
        <v>45688</v>
      </c>
      <c r="D9" s="546">
        <v>45657</v>
      </c>
      <c r="E9" s="546">
        <v>45626</v>
      </c>
      <c r="F9" s="546">
        <v>45596</v>
      </c>
      <c r="G9" s="546">
        <v>45565</v>
      </c>
      <c r="H9" s="546">
        <v>45535</v>
      </c>
      <c r="I9" s="546">
        <v>45504</v>
      </c>
      <c r="J9" s="546">
        <v>45473</v>
      </c>
      <c r="K9" s="546">
        <v>45443</v>
      </c>
      <c r="L9" s="546">
        <v>45412</v>
      </c>
      <c r="M9" s="546">
        <v>45382</v>
      </c>
      <c r="N9" s="546">
        <v>45351</v>
      </c>
      <c r="O9" s="547">
        <v>45322</v>
      </c>
      <c r="P9" s="546">
        <v>45291</v>
      </c>
      <c r="Q9" s="547">
        <v>45260</v>
      </c>
      <c r="R9" s="546">
        <v>45230</v>
      </c>
      <c r="S9" s="547">
        <v>45199</v>
      </c>
      <c r="T9" s="547">
        <v>45169</v>
      </c>
      <c r="U9" s="547">
        <v>45138</v>
      </c>
      <c r="V9" s="546">
        <v>45107</v>
      </c>
      <c r="W9" s="547">
        <v>45077</v>
      </c>
      <c r="X9" s="547">
        <v>45046</v>
      </c>
      <c r="Y9" s="547">
        <v>45016</v>
      </c>
      <c r="Z9" s="546">
        <v>44985</v>
      </c>
      <c r="AA9" s="547">
        <v>44957</v>
      </c>
      <c r="AB9" s="546">
        <v>44926</v>
      </c>
      <c r="AC9" s="547">
        <v>44895</v>
      </c>
      <c r="AD9" s="547">
        <v>44865</v>
      </c>
      <c r="AE9" s="546">
        <v>44834</v>
      </c>
      <c r="AF9" s="586">
        <v>44804</v>
      </c>
      <c r="AG9" s="544" t="s">
        <v>528</v>
      </c>
      <c r="AH9" s="548" t="s">
        <v>521</v>
      </c>
    </row>
    <row r="10" spans="1:114" s="511" customFormat="1" x14ac:dyDescent="0.25">
      <c r="A10" s="534">
        <v>1</v>
      </c>
      <c r="B10" s="578">
        <f>EOMONTH(B11,1)</f>
        <v>45688</v>
      </c>
      <c r="C10" s="522"/>
      <c r="D10" s="522">
        <v>14739292.699999999</v>
      </c>
      <c r="E10" s="522">
        <v>4586705.82</v>
      </c>
      <c r="F10" s="522">
        <v>664560.63</v>
      </c>
      <c r="G10" s="522">
        <v>113953.35</v>
      </c>
      <c r="H10" s="522">
        <v>118613.82</v>
      </c>
      <c r="I10" s="522">
        <v>79632.830000000016</v>
      </c>
      <c r="J10" s="522">
        <v>92673.31</v>
      </c>
      <c r="K10" s="522">
        <v>116220.71</v>
      </c>
      <c r="L10" s="522">
        <v>96780.46</v>
      </c>
      <c r="M10" s="522">
        <v>12807.23</v>
      </c>
      <c r="N10" s="522">
        <v>8463.26</v>
      </c>
      <c r="O10" s="522">
        <v>23756.23</v>
      </c>
      <c r="P10" s="522">
        <v>-10210</v>
      </c>
      <c r="Q10" s="522">
        <v>-1278.3399999999999</v>
      </c>
      <c r="R10" s="522">
        <v>19564.86</v>
      </c>
      <c r="S10" s="522">
        <v>799.4</v>
      </c>
      <c r="T10" s="522">
        <v>9548.52</v>
      </c>
      <c r="U10" s="522">
        <v>325.76</v>
      </c>
      <c r="V10" s="522">
        <v>0</v>
      </c>
      <c r="W10" s="522">
        <v>-41.05</v>
      </c>
      <c r="X10" s="522"/>
      <c r="Y10" s="522"/>
      <c r="Z10" s="522"/>
      <c r="AA10" s="522"/>
      <c r="AB10" s="522"/>
      <c r="AC10" s="522"/>
      <c r="AD10" s="522"/>
      <c r="AE10" s="522"/>
      <c r="AF10" s="572"/>
      <c r="AG10" s="571">
        <v>-4735.0300000000007</v>
      </c>
      <c r="AH10" s="533">
        <f t="shared" ref="AH10:AH38" si="0">SUM(C10:AG10)</f>
        <v>20667434.469999999</v>
      </c>
    </row>
    <row r="11" spans="1:114" s="511" customFormat="1" x14ac:dyDescent="0.25">
      <c r="A11" s="534">
        <v>2</v>
      </c>
      <c r="B11" s="535">
        <f>'Schedule 2_Balance Sheet'!C4</f>
        <v>45657</v>
      </c>
      <c r="C11" s="551"/>
      <c r="D11" s="584">
        <v>7449590.0999999996</v>
      </c>
      <c r="E11" s="584">
        <v>12374531.890000001</v>
      </c>
      <c r="F11" s="584">
        <v>6675901.4500000002</v>
      </c>
      <c r="G11" s="584">
        <v>540200.46</v>
      </c>
      <c r="H11" s="584">
        <v>182731.8</v>
      </c>
      <c r="I11" s="584">
        <v>173992.2</v>
      </c>
      <c r="J11" s="584">
        <v>108496.69</v>
      </c>
      <c r="K11" s="584">
        <v>75783.960000000006</v>
      </c>
      <c r="L11" s="584">
        <v>49956.45</v>
      </c>
      <c r="M11" s="584">
        <v>680.75</v>
      </c>
      <c r="N11" s="584">
        <v>26059.24</v>
      </c>
      <c r="O11" s="584">
        <v>39782.54</v>
      </c>
      <c r="P11" s="584">
        <v>10290.780000000001</v>
      </c>
      <c r="Q11" s="584">
        <v>18384.169999999998</v>
      </c>
      <c r="R11" s="584">
        <v>-2327.9499999999998</v>
      </c>
      <c r="S11" s="584">
        <v>-922.62</v>
      </c>
      <c r="T11" s="584">
        <v>16814.36</v>
      </c>
      <c r="U11" s="584">
        <v>-1787.77</v>
      </c>
      <c r="V11" s="584">
        <v>-1735.8</v>
      </c>
      <c r="W11" s="584">
        <v>-2010.58</v>
      </c>
      <c r="X11" s="584"/>
      <c r="Y11" s="584"/>
      <c r="Z11" s="584"/>
      <c r="AA11" s="584"/>
      <c r="AB11" s="584"/>
      <c r="AC11" s="584"/>
      <c r="AD11" s="584"/>
      <c r="AE11" s="584"/>
      <c r="AF11" s="573"/>
      <c r="AG11" s="569">
        <v>-10687.730000000003</v>
      </c>
      <c r="AH11" s="533">
        <f t="shared" si="0"/>
        <v>27723724.390000004</v>
      </c>
    </row>
    <row r="12" spans="1:114" s="510" customFormat="1" ht="15" customHeight="1" x14ac:dyDescent="0.25">
      <c r="A12" s="534">
        <v>3</v>
      </c>
      <c r="B12" s="535">
        <f>EOMONTH(B11,-1)</f>
        <v>45626</v>
      </c>
      <c r="C12" s="551"/>
      <c r="D12" s="551">
        <v>0</v>
      </c>
      <c r="E12" s="523">
        <v>8692291.8900000006</v>
      </c>
      <c r="F12" s="523">
        <v>14889440.5</v>
      </c>
      <c r="G12" s="523">
        <v>7001655.0299999993</v>
      </c>
      <c r="H12" s="523">
        <v>1038615.84</v>
      </c>
      <c r="I12" s="523">
        <v>239218.5</v>
      </c>
      <c r="J12" s="523">
        <v>114234.65</v>
      </c>
      <c r="K12" s="523">
        <v>107635.99</v>
      </c>
      <c r="L12" s="523">
        <v>214810.95</v>
      </c>
      <c r="M12" s="523">
        <v>72137.88</v>
      </c>
      <c r="N12" s="523">
        <v>88639</v>
      </c>
      <c r="O12" s="523">
        <v>29408.22</v>
      </c>
      <c r="P12" s="523">
        <v>24049.5</v>
      </c>
      <c r="Q12" s="523">
        <v>30412.93</v>
      </c>
      <c r="R12" s="523">
        <v>14588.78</v>
      </c>
      <c r="S12" s="523">
        <v>6563.4</v>
      </c>
      <c r="T12" s="523">
        <v>2765.23</v>
      </c>
      <c r="U12" s="523">
        <v>2545.75</v>
      </c>
      <c r="V12" s="523">
        <v>1058.79</v>
      </c>
      <c r="W12" s="523">
        <v>1882.01</v>
      </c>
      <c r="X12" s="523"/>
      <c r="Y12" s="523"/>
      <c r="Z12" s="523"/>
      <c r="AA12" s="523"/>
      <c r="AB12" s="523"/>
      <c r="AC12" s="523"/>
      <c r="AD12" s="523"/>
      <c r="AE12" s="523"/>
      <c r="AF12" s="565"/>
      <c r="AG12" s="569">
        <v>-44259.639999999985</v>
      </c>
      <c r="AH12" s="533">
        <f t="shared" si="0"/>
        <v>32527695.199999996</v>
      </c>
    </row>
    <row r="13" spans="1:114" s="510" customFormat="1" ht="15" customHeight="1" x14ac:dyDescent="0.25">
      <c r="A13" s="534">
        <v>4</v>
      </c>
      <c r="B13" s="535">
        <f t="shared" ref="B13:B39" si="1">EOMONTH(B12,-1)</f>
        <v>45596</v>
      </c>
      <c r="C13" s="551"/>
      <c r="D13" s="549">
        <v>0</v>
      </c>
      <c r="E13" s="551">
        <v>0</v>
      </c>
      <c r="F13" s="523">
        <v>6990581.6400000006</v>
      </c>
      <c r="G13" s="523">
        <v>11487141.689999999</v>
      </c>
      <c r="H13" s="523">
        <v>6062377.040000001</v>
      </c>
      <c r="I13" s="523">
        <v>1632542.71</v>
      </c>
      <c r="J13" s="523">
        <v>658387.56000000006</v>
      </c>
      <c r="K13" s="523">
        <v>571825.66</v>
      </c>
      <c r="L13" s="523">
        <v>439315.14</v>
      </c>
      <c r="M13" s="523">
        <v>5030.1400000000003</v>
      </c>
      <c r="N13" s="523">
        <v>-7718.89</v>
      </c>
      <c r="O13" s="523">
        <v>50206.86</v>
      </c>
      <c r="P13" s="523">
        <v>1078.53</v>
      </c>
      <c r="Q13" s="523">
        <v>1427.54</v>
      </c>
      <c r="R13" s="523">
        <v>2082.96</v>
      </c>
      <c r="S13" s="524">
        <v>587.48</v>
      </c>
      <c r="T13" s="524">
        <v>-4724.3599999999997</v>
      </c>
      <c r="U13" s="524">
        <v>-1852.74</v>
      </c>
      <c r="V13" s="523">
        <v>-1234.8</v>
      </c>
      <c r="W13" s="523">
        <v>-1180.97</v>
      </c>
      <c r="X13" s="524"/>
      <c r="Y13" s="524"/>
      <c r="Z13" s="523"/>
      <c r="AA13" s="523"/>
      <c r="AB13" s="523"/>
      <c r="AC13" s="523"/>
      <c r="AD13" s="523"/>
      <c r="AE13" s="523"/>
      <c r="AF13" s="565"/>
      <c r="AG13" s="567">
        <v>-23560.85</v>
      </c>
      <c r="AH13" s="533">
        <f t="shared" si="0"/>
        <v>27862312.34</v>
      </c>
    </row>
    <row r="14" spans="1:114" s="510" customFormat="1" ht="15" customHeight="1" x14ac:dyDescent="0.25">
      <c r="A14" s="534">
        <v>5</v>
      </c>
      <c r="B14" s="535">
        <f t="shared" si="1"/>
        <v>45565</v>
      </c>
      <c r="C14" s="551"/>
      <c r="D14" s="549">
        <v>0</v>
      </c>
      <c r="E14" s="549">
        <v>0</v>
      </c>
      <c r="F14" s="551">
        <v>0</v>
      </c>
      <c r="G14" s="523">
        <v>7796479.4699999997</v>
      </c>
      <c r="H14" s="523">
        <v>11088442.57</v>
      </c>
      <c r="I14" s="523">
        <v>5420210.4099999992</v>
      </c>
      <c r="J14" s="523">
        <v>535522.84</v>
      </c>
      <c r="K14" s="523">
        <v>107527.59</v>
      </c>
      <c r="L14" s="523">
        <v>24430</v>
      </c>
      <c r="M14" s="523">
        <v>41486.46</v>
      </c>
      <c r="N14" s="523">
        <v>33020.699999999997</v>
      </c>
      <c r="O14" s="523">
        <v>36665.730000000003</v>
      </c>
      <c r="P14" s="523">
        <v>18304.28</v>
      </c>
      <c r="Q14" s="523">
        <v>5849.89</v>
      </c>
      <c r="R14" s="523">
        <v>-1181.1299999999992</v>
      </c>
      <c r="S14" s="524">
        <v>26964.41</v>
      </c>
      <c r="T14" s="524">
        <v>15768.11</v>
      </c>
      <c r="U14" s="524">
        <v>3788.61</v>
      </c>
      <c r="V14" s="523">
        <v>-7641.96</v>
      </c>
      <c r="W14" s="523">
        <v>0</v>
      </c>
      <c r="X14" s="524"/>
      <c r="Y14" s="524"/>
      <c r="Z14" s="523"/>
      <c r="AA14" s="523"/>
      <c r="AB14" s="523"/>
      <c r="AC14" s="523"/>
      <c r="AD14" s="523"/>
      <c r="AE14" s="523"/>
      <c r="AF14" s="565"/>
      <c r="AG14" s="568">
        <v>120836.96</v>
      </c>
      <c r="AH14" s="533">
        <f t="shared" si="0"/>
        <v>25266474.940000001</v>
      </c>
    </row>
    <row r="15" spans="1:114" s="510" customFormat="1" ht="15" customHeight="1" x14ac:dyDescent="0.25">
      <c r="A15" s="534">
        <v>6</v>
      </c>
      <c r="B15" s="535">
        <f t="shared" si="1"/>
        <v>45535</v>
      </c>
      <c r="C15" s="551"/>
      <c r="D15" s="549">
        <v>0</v>
      </c>
      <c r="E15" s="549">
        <v>0</v>
      </c>
      <c r="F15" s="549">
        <v>0</v>
      </c>
      <c r="G15" s="551">
        <v>0</v>
      </c>
      <c r="H15" s="523">
        <v>8691171.0099999998</v>
      </c>
      <c r="I15" s="523">
        <v>14129136.27</v>
      </c>
      <c r="J15" s="523">
        <v>6677567.5300000003</v>
      </c>
      <c r="K15" s="523">
        <v>2155564.02</v>
      </c>
      <c r="L15" s="523">
        <v>405098.13</v>
      </c>
      <c r="M15" s="523">
        <v>111065.23</v>
      </c>
      <c r="N15" s="523">
        <v>33433.589999999997</v>
      </c>
      <c r="O15" s="523">
        <v>4578.67</v>
      </c>
      <c r="P15" s="523">
        <v>43594.41</v>
      </c>
      <c r="Q15" s="523">
        <v>9730.66</v>
      </c>
      <c r="R15" s="523">
        <v>45368.47</v>
      </c>
      <c r="S15" s="524">
        <v>22843.360000000001</v>
      </c>
      <c r="T15" s="524">
        <v>13801.27</v>
      </c>
      <c r="U15" s="524">
        <v>22177.05</v>
      </c>
      <c r="V15" s="523">
        <v>20059.78</v>
      </c>
      <c r="W15" s="523">
        <v>12042.05</v>
      </c>
      <c r="X15" s="524"/>
      <c r="Y15" s="524"/>
      <c r="Z15" s="523"/>
      <c r="AA15" s="523"/>
      <c r="AB15" s="523"/>
      <c r="AC15" s="523"/>
      <c r="AD15" s="523"/>
      <c r="AE15" s="523"/>
      <c r="AF15" s="565"/>
      <c r="AG15" s="568">
        <v>97347.150000000009</v>
      </c>
      <c r="AH15" s="533">
        <f t="shared" si="0"/>
        <v>32494578.650000002</v>
      </c>
    </row>
    <row r="16" spans="1:114" s="510" customFormat="1" ht="15" customHeight="1" x14ac:dyDescent="0.25">
      <c r="A16" s="534">
        <v>7</v>
      </c>
      <c r="B16" s="535">
        <f t="shared" si="1"/>
        <v>45504</v>
      </c>
      <c r="C16" s="551"/>
      <c r="D16" s="549">
        <v>0</v>
      </c>
      <c r="E16" s="549">
        <v>0</v>
      </c>
      <c r="F16" s="552">
        <v>0</v>
      </c>
      <c r="G16" s="549">
        <v>0</v>
      </c>
      <c r="H16" s="551">
        <v>0</v>
      </c>
      <c r="I16" s="523">
        <v>5696603.2199999997</v>
      </c>
      <c r="J16" s="523">
        <v>9996813.7400000002</v>
      </c>
      <c r="K16" s="523">
        <v>5074921</v>
      </c>
      <c r="L16" s="523">
        <v>2079424.49</v>
      </c>
      <c r="M16" s="523">
        <v>71818.86</v>
      </c>
      <c r="N16" s="523">
        <v>48791.6</v>
      </c>
      <c r="O16" s="523">
        <v>30418.7</v>
      </c>
      <c r="P16" s="523">
        <v>27407.93</v>
      </c>
      <c r="Q16" s="523">
        <v>24439.38</v>
      </c>
      <c r="R16" s="523">
        <v>38911.5</v>
      </c>
      <c r="S16" s="524">
        <v>39804.51</v>
      </c>
      <c r="T16" s="524">
        <v>17502.060000000001</v>
      </c>
      <c r="U16" s="524">
        <v>14791.84</v>
      </c>
      <c r="V16" s="523">
        <v>24554.1</v>
      </c>
      <c r="W16" s="523">
        <v>27078</v>
      </c>
      <c r="X16" s="524"/>
      <c r="Y16" s="524"/>
      <c r="Z16" s="523"/>
      <c r="AA16" s="523"/>
      <c r="AB16" s="523"/>
      <c r="AC16" s="523"/>
      <c r="AD16" s="523"/>
      <c r="AE16" s="523"/>
      <c r="AF16" s="565"/>
      <c r="AG16" s="568">
        <v>96561.75</v>
      </c>
      <c r="AH16" s="533">
        <f t="shared" si="0"/>
        <v>23309842.68</v>
      </c>
    </row>
    <row r="17" spans="1:34" s="510" customFormat="1" ht="15" customHeight="1" x14ac:dyDescent="0.25">
      <c r="A17" s="534">
        <v>8</v>
      </c>
      <c r="B17" s="535">
        <f t="shared" si="1"/>
        <v>45473</v>
      </c>
      <c r="C17" s="551"/>
      <c r="D17" s="549">
        <v>0</v>
      </c>
      <c r="E17" s="549">
        <v>0</v>
      </c>
      <c r="F17" s="549">
        <v>0</v>
      </c>
      <c r="G17" s="549">
        <v>0</v>
      </c>
      <c r="H17" s="549">
        <v>0</v>
      </c>
      <c r="I17" s="551">
        <v>0</v>
      </c>
      <c r="J17" s="523">
        <v>7085917.0800000001</v>
      </c>
      <c r="K17" s="523">
        <v>11196447.99</v>
      </c>
      <c r="L17" s="523">
        <v>4857908.2</v>
      </c>
      <c r="M17" s="523">
        <v>222401.24</v>
      </c>
      <c r="N17" s="523">
        <v>117705.75</v>
      </c>
      <c r="O17" s="523">
        <v>109233.06</v>
      </c>
      <c r="P17" s="523">
        <v>62618.03</v>
      </c>
      <c r="Q17" s="523">
        <v>41040.85</v>
      </c>
      <c r="R17" s="523">
        <v>49302.86</v>
      </c>
      <c r="S17" s="524">
        <v>58837.64</v>
      </c>
      <c r="T17" s="524">
        <v>45089.440000000002</v>
      </c>
      <c r="U17" s="524">
        <v>31487.41</v>
      </c>
      <c r="V17" s="523">
        <v>37436.42</v>
      </c>
      <c r="W17" s="523">
        <v>20945.099999999999</v>
      </c>
      <c r="X17" s="524"/>
      <c r="Y17" s="524"/>
      <c r="Z17" s="523"/>
      <c r="AA17" s="523"/>
      <c r="AB17" s="523"/>
      <c r="AC17" s="523"/>
      <c r="AD17" s="523"/>
      <c r="AE17" s="523"/>
      <c r="AF17" s="565"/>
      <c r="AG17" s="568">
        <v>201486.23</v>
      </c>
      <c r="AH17" s="533">
        <f t="shared" si="0"/>
        <v>24137857.300000004</v>
      </c>
    </row>
    <row r="18" spans="1:34" s="510" customFormat="1" ht="15" customHeight="1" x14ac:dyDescent="0.25">
      <c r="A18" s="534">
        <v>9</v>
      </c>
      <c r="B18" s="535">
        <f t="shared" si="1"/>
        <v>45443</v>
      </c>
      <c r="C18" s="551"/>
      <c r="D18" s="549">
        <v>0</v>
      </c>
      <c r="E18" s="549">
        <v>0</v>
      </c>
      <c r="F18" s="549">
        <v>0</v>
      </c>
      <c r="G18" s="549">
        <v>0</v>
      </c>
      <c r="H18" s="549">
        <v>0</v>
      </c>
      <c r="I18" s="549">
        <v>0</v>
      </c>
      <c r="J18" s="551">
        <v>0</v>
      </c>
      <c r="K18" s="523">
        <v>7672561.2199999997</v>
      </c>
      <c r="L18" s="523">
        <v>12607421.470000001</v>
      </c>
      <c r="M18" s="523">
        <v>5708036.7800000003</v>
      </c>
      <c r="N18" s="523">
        <v>521896.79</v>
      </c>
      <c r="O18" s="523">
        <v>324279.37</v>
      </c>
      <c r="P18" s="523">
        <v>278938.08</v>
      </c>
      <c r="Q18" s="523">
        <v>71956.899999999994</v>
      </c>
      <c r="R18" s="523">
        <v>120679.59</v>
      </c>
      <c r="S18" s="524">
        <v>85806.16</v>
      </c>
      <c r="T18" s="524">
        <v>74870.69</v>
      </c>
      <c r="U18" s="524">
        <v>33847.15</v>
      </c>
      <c r="V18" s="523">
        <v>28491.7</v>
      </c>
      <c r="W18" s="523">
        <v>32940.080000000002</v>
      </c>
      <c r="X18" s="524"/>
      <c r="Y18" s="524"/>
      <c r="Z18" s="523"/>
      <c r="AA18" s="523"/>
      <c r="AB18" s="523"/>
      <c r="AC18" s="523"/>
      <c r="AD18" s="523"/>
      <c r="AE18" s="523"/>
      <c r="AF18" s="565"/>
      <c r="AG18" s="568">
        <v>48145</v>
      </c>
      <c r="AH18" s="533">
        <f t="shared" si="0"/>
        <v>27609870.979999997</v>
      </c>
    </row>
    <row r="19" spans="1:34" s="510" customFormat="1" ht="15" customHeight="1" x14ac:dyDescent="0.25">
      <c r="A19" s="534">
        <v>10</v>
      </c>
      <c r="B19" s="535">
        <f t="shared" si="1"/>
        <v>45412</v>
      </c>
      <c r="C19" s="551"/>
      <c r="D19" s="549">
        <v>0</v>
      </c>
      <c r="E19" s="549">
        <v>0</v>
      </c>
      <c r="F19" s="549">
        <v>0</v>
      </c>
      <c r="G19" s="549">
        <v>0</v>
      </c>
      <c r="H19" s="549">
        <v>0</v>
      </c>
      <c r="I19" s="549">
        <v>0</v>
      </c>
      <c r="J19" s="549">
        <v>0</v>
      </c>
      <c r="K19" s="551">
        <v>0</v>
      </c>
      <c r="L19" s="523">
        <v>5189564.74</v>
      </c>
      <c r="M19" s="523">
        <v>12660586.380000001</v>
      </c>
      <c r="N19" s="523">
        <v>4569880.1900000004</v>
      </c>
      <c r="O19" s="523">
        <v>430556.86</v>
      </c>
      <c r="P19" s="523">
        <v>79436.44</v>
      </c>
      <c r="Q19" s="523">
        <v>80454.92</v>
      </c>
      <c r="R19" s="523">
        <v>68658.210000000006</v>
      </c>
      <c r="S19" s="524">
        <v>93497.279999999999</v>
      </c>
      <c r="T19" s="524">
        <v>113056.11</v>
      </c>
      <c r="U19" s="524">
        <v>63990.64</v>
      </c>
      <c r="V19" s="523">
        <v>71145.75</v>
      </c>
      <c r="W19" s="523">
        <v>49755.15</v>
      </c>
      <c r="X19" s="524"/>
      <c r="Y19" s="524"/>
      <c r="Z19" s="523"/>
      <c r="AA19" s="523"/>
      <c r="AB19" s="523"/>
      <c r="AC19" s="523"/>
      <c r="AD19" s="523"/>
      <c r="AE19" s="523"/>
      <c r="AF19" s="565"/>
      <c r="AG19" s="568">
        <v>86888.67</v>
      </c>
      <c r="AH19" s="533">
        <f t="shared" si="0"/>
        <v>23557471.340000007</v>
      </c>
    </row>
    <row r="20" spans="1:34" s="510" customFormat="1" ht="15" customHeight="1" x14ac:dyDescent="0.25">
      <c r="A20" s="534">
        <v>11</v>
      </c>
      <c r="B20" s="535">
        <f t="shared" si="1"/>
        <v>45382</v>
      </c>
      <c r="C20" s="551"/>
      <c r="D20" s="549">
        <v>0</v>
      </c>
      <c r="E20" s="549">
        <v>0</v>
      </c>
      <c r="F20" s="549">
        <v>0</v>
      </c>
      <c r="G20" s="549">
        <v>0</v>
      </c>
      <c r="H20" s="549">
        <v>0</v>
      </c>
      <c r="I20" s="549">
        <v>0</v>
      </c>
      <c r="J20" s="549">
        <v>0</v>
      </c>
      <c r="K20" s="549">
        <v>0</v>
      </c>
      <c r="L20" s="551">
        <v>0</v>
      </c>
      <c r="M20" s="523">
        <v>7564876.4199999999</v>
      </c>
      <c r="N20" s="523">
        <v>14931890.180000003</v>
      </c>
      <c r="O20" s="523">
        <v>5901921.8799999999</v>
      </c>
      <c r="P20" s="523">
        <v>396816.4</v>
      </c>
      <c r="Q20" s="523">
        <v>102065.94</v>
      </c>
      <c r="R20" s="523">
        <v>148432.29999999999</v>
      </c>
      <c r="S20" s="524">
        <v>72085.850000000006</v>
      </c>
      <c r="T20" s="524">
        <v>55209.99</v>
      </c>
      <c r="U20" s="524">
        <v>68291.839999999997</v>
      </c>
      <c r="V20" s="523">
        <v>63512.49</v>
      </c>
      <c r="W20" s="523">
        <v>51464.43</v>
      </c>
      <c r="X20" s="524"/>
      <c r="Y20" s="524"/>
      <c r="Z20" s="523"/>
      <c r="AA20" s="523"/>
      <c r="AB20" s="523"/>
      <c r="AC20" s="523"/>
      <c r="AD20" s="523"/>
      <c r="AE20" s="523"/>
      <c r="AF20" s="565"/>
      <c r="AG20" s="568">
        <v>175510.34</v>
      </c>
      <c r="AH20" s="533">
        <f t="shared" si="0"/>
        <v>29532078.059999999</v>
      </c>
    </row>
    <row r="21" spans="1:34" s="510" customFormat="1" ht="15" customHeight="1" x14ac:dyDescent="0.25">
      <c r="A21" s="534">
        <v>12</v>
      </c>
      <c r="B21" s="535">
        <f t="shared" si="1"/>
        <v>45351</v>
      </c>
      <c r="C21" s="551"/>
      <c r="D21" s="549">
        <v>0</v>
      </c>
      <c r="E21" s="549">
        <v>0</v>
      </c>
      <c r="F21" s="549">
        <v>0</v>
      </c>
      <c r="G21" s="549">
        <v>0</v>
      </c>
      <c r="H21" s="549">
        <v>0</v>
      </c>
      <c r="I21" s="549">
        <v>0</v>
      </c>
      <c r="J21" s="549">
        <v>0</v>
      </c>
      <c r="K21" s="549">
        <v>0</v>
      </c>
      <c r="L21" s="549">
        <v>0</v>
      </c>
      <c r="M21" s="551">
        <v>0</v>
      </c>
      <c r="N21" s="523">
        <v>3966083.6100000003</v>
      </c>
      <c r="O21" s="523">
        <v>13171599.690000001</v>
      </c>
      <c r="P21" s="523">
        <v>6375983.0700000003</v>
      </c>
      <c r="Q21" s="523">
        <v>1108358.1100000001</v>
      </c>
      <c r="R21" s="523">
        <v>206338.81</v>
      </c>
      <c r="S21" s="524">
        <v>188095.9</v>
      </c>
      <c r="T21" s="524">
        <v>127783.96</v>
      </c>
      <c r="U21" s="524">
        <v>245529.3</v>
      </c>
      <c r="V21" s="523">
        <v>56713.88</v>
      </c>
      <c r="W21" s="523">
        <v>143994.84</v>
      </c>
      <c r="X21" s="524"/>
      <c r="Y21" s="524"/>
      <c r="Z21" s="523"/>
      <c r="AA21" s="523"/>
      <c r="AB21" s="523"/>
      <c r="AC21" s="523"/>
      <c r="AD21" s="523"/>
      <c r="AE21" s="523"/>
      <c r="AF21" s="565"/>
      <c r="AG21" s="568">
        <v>331342.28999999998</v>
      </c>
      <c r="AH21" s="533">
        <f t="shared" si="0"/>
        <v>25921823.459999997</v>
      </c>
    </row>
    <row r="22" spans="1:34" s="510" customFormat="1" ht="15" customHeight="1" x14ac:dyDescent="0.25">
      <c r="A22" s="534">
        <v>13</v>
      </c>
      <c r="B22" s="535">
        <f t="shared" si="1"/>
        <v>45322</v>
      </c>
      <c r="C22" s="551"/>
      <c r="D22" s="549">
        <v>0</v>
      </c>
      <c r="E22" s="549">
        <v>0</v>
      </c>
      <c r="F22" s="549">
        <v>0</v>
      </c>
      <c r="G22" s="549">
        <v>0</v>
      </c>
      <c r="H22" s="549">
        <v>0</v>
      </c>
      <c r="I22" s="549">
        <v>0</v>
      </c>
      <c r="J22" s="549">
        <v>0</v>
      </c>
      <c r="K22" s="549">
        <v>0</v>
      </c>
      <c r="L22" s="549">
        <v>0</v>
      </c>
      <c r="M22" s="549">
        <v>0</v>
      </c>
      <c r="N22" s="551">
        <v>0</v>
      </c>
      <c r="O22" s="523">
        <v>5366188.5199999996</v>
      </c>
      <c r="P22" s="523">
        <v>10577026.220000001</v>
      </c>
      <c r="Q22" s="523">
        <v>6087655.4199999999</v>
      </c>
      <c r="R22" s="523">
        <v>1033139.39</v>
      </c>
      <c r="S22" s="524">
        <v>425519.51</v>
      </c>
      <c r="T22" s="524">
        <v>442358.26</v>
      </c>
      <c r="U22" s="524">
        <v>352959.05</v>
      </c>
      <c r="V22" s="523">
        <v>123437.52</v>
      </c>
      <c r="W22" s="523">
        <v>140836.54999999999</v>
      </c>
      <c r="X22" s="524"/>
      <c r="Y22" s="524"/>
      <c r="Z22" s="523"/>
      <c r="AA22" s="523"/>
      <c r="AB22" s="523"/>
      <c r="AC22" s="523"/>
      <c r="AD22" s="523"/>
      <c r="AE22" s="523"/>
      <c r="AF22" s="565"/>
      <c r="AG22" s="568">
        <v>386815.5</v>
      </c>
      <c r="AH22" s="533">
        <f t="shared" si="0"/>
        <v>24935935.940000005</v>
      </c>
    </row>
    <row r="23" spans="1:34" s="510" customFormat="1" ht="15" customHeight="1" x14ac:dyDescent="0.25">
      <c r="A23" s="534">
        <v>14</v>
      </c>
      <c r="B23" s="535">
        <f t="shared" si="1"/>
        <v>45291</v>
      </c>
      <c r="C23" s="551"/>
      <c r="D23" s="549">
        <v>0</v>
      </c>
      <c r="E23" s="549">
        <v>0</v>
      </c>
      <c r="F23" s="549">
        <v>0</v>
      </c>
      <c r="G23" s="549">
        <v>0</v>
      </c>
      <c r="H23" s="549">
        <v>0</v>
      </c>
      <c r="I23" s="549">
        <v>0</v>
      </c>
      <c r="J23" s="549">
        <v>0</v>
      </c>
      <c r="K23" s="549">
        <v>0</v>
      </c>
      <c r="L23" s="549">
        <v>0</v>
      </c>
      <c r="M23" s="549">
        <v>0</v>
      </c>
      <c r="N23" s="549">
        <v>0</v>
      </c>
      <c r="O23" s="551">
        <v>0</v>
      </c>
      <c r="P23" s="523">
        <v>6493047.5099999998</v>
      </c>
      <c r="Q23" s="523">
        <v>11851495.969999999</v>
      </c>
      <c r="R23" s="523">
        <v>5668101.3799999999</v>
      </c>
      <c r="S23" s="524">
        <v>311988.5</v>
      </c>
      <c r="T23" s="524">
        <v>139201.21</v>
      </c>
      <c r="U23" s="524">
        <v>133469.78</v>
      </c>
      <c r="V23" s="523">
        <v>169254</v>
      </c>
      <c r="W23" s="523">
        <v>193658.45</v>
      </c>
      <c r="X23" s="524"/>
      <c r="Y23" s="524"/>
      <c r="Z23" s="523"/>
      <c r="AA23" s="523"/>
      <c r="AB23" s="523"/>
      <c r="AC23" s="523"/>
      <c r="AD23" s="523"/>
      <c r="AE23" s="523"/>
      <c r="AF23" s="565"/>
      <c r="AG23" s="568">
        <v>664556.83000000007</v>
      </c>
      <c r="AH23" s="533">
        <f t="shared" si="0"/>
        <v>25624773.629999995</v>
      </c>
    </row>
    <row r="24" spans="1:34" s="510" customFormat="1" ht="15" customHeight="1" x14ac:dyDescent="0.25">
      <c r="A24" s="534">
        <v>15</v>
      </c>
      <c r="B24" s="535">
        <f t="shared" si="1"/>
        <v>45260</v>
      </c>
      <c r="C24" s="551"/>
      <c r="D24" s="549">
        <v>0</v>
      </c>
      <c r="E24" s="549">
        <v>0</v>
      </c>
      <c r="F24" s="549">
        <v>0</v>
      </c>
      <c r="G24" s="549">
        <v>0</v>
      </c>
      <c r="H24" s="549">
        <v>0</v>
      </c>
      <c r="I24" s="549">
        <v>0</v>
      </c>
      <c r="J24" s="549">
        <v>0</v>
      </c>
      <c r="K24" s="549">
        <v>0</v>
      </c>
      <c r="L24" s="549">
        <v>0</v>
      </c>
      <c r="M24" s="549">
        <v>0</v>
      </c>
      <c r="N24" s="549">
        <v>0</v>
      </c>
      <c r="O24" s="551">
        <v>0</v>
      </c>
      <c r="P24" s="551">
        <v>0</v>
      </c>
      <c r="Q24" s="523">
        <v>4976692.79</v>
      </c>
      <c r="R24" s="523">
        <v>10995306.92</v>
      </c>
      <c r="S24" s="524">
        <v>4266537.68</v>
      </c>
      <c r="T24" s="524">
        <v>370375.25</v>
      </c>
      <c r="U24" s="524">
        <v>260186.1</v>
      </c>
      <c r="V24" s="523">
        <v>72308.740000000005</v>
      </c>
      <c r="W24" s="523">
        <v>131471.74</v>
      </c>
      <c r="X24" s="524"/>
      <c r="Y24" s="524"/>
      <c r="Z24" s="523"/>
      <c r="AA24" s="523"/>
      <c r="AB24" s="523"/>
      <c r="AC24" s="523"/>
      <c r="AD24" s="523"/>
      <c r="AE24" s="523"/>
      <c r="AF24" s="565"/>
      <c r="AG24" s="568">
        <v>539295.68000000005</v>
      </c>
      <c r="AH24" s="533">
        <f t="shared" si="0"/>
        <v>21612174.899999999</v>
      </c>
    </row>
    <row r="25" spans="1:34" s="510" customFormat="1" ht="15" customHeight="1" x14ac:dyDescent="0.25">
      <c r="A25" s="534">
        <v>16</v>
      </c>
      <c r="B25" s="535">
        <f t="shared" si="1"/>
        <v>45230</v>
      </c>
      <c r="C25" s="551"/>
      <c r="D25" s="549">
        <v>0</v>
      </c>
      <c r="E25" s="549">
        <v>0</v>
      </c>
      <c r="F25" s="549">
        <v>0</v>
      </c>
      <c r="G25" s="549">
        <v>0</v>
      </c>
      <c r="H25" s="549">
        <v>0</v>
      </c>
      <c r="I25" s="549">
        <v>0</v>
      </c>
      <c r="J25" s="549">
        <v>0</v>
      </c>
      <c r="K25" s="549">
        <v>0</v>
      </c>
      <c r="L25" s="549">
        <v>0</v>
      </c>
      <c r="M25" s="549">
        <v>0</v>
      </c>
      <c r="N25" s="549">
        <v>0</v>
      </c>
      <c r="O25" s="550">
        <v>0</v>
      </c>
      <c r="P25" s="549">
        <v>0</v>
      </c>
      <c r="Q25" s="551">
        <v>0</v>
      </c>
      <c r="R25" s="523">
        <v>6440553.4699999997</v>
      </c>
      <c r="S25" s="524">
        <v>11288380.460000001</v>
      </c>
      <c r="T25" s="524">
        <v>6628254.7199999997</v>
      </c>
      <c r="U25" s="524">
        <v>669106.34</v>
      </c>
      <c r="V25" s="523">
        <v>189524.21</v>
      </c>
      <c r="W25" s="523">
        <v>290330.32</v>
      </c>
      <c r="X25" s="524"/>
      <c r="Y25" s="524"/>
      <c r="Z25" s="523"/>
      <c r="AA25" s="523"/>
      <c r="AB25" s="523"/>
      <c r="AC25" s="523"/>
      <c r="AD25" s="523"/>
      <c r="AE25" s="523"/>
      <c r="AF25" s="565"/>
      <c r="AG25" s="568">
        <v>642825.37</v>
      </c>
      <c r="AH25" s="533">
        <f t="shared" si="0"/>
        <v>26148974.890000001</v>
      </c>
    </row>
    <row r="26" spans="1:34" s="510" customFormat="1" ht="15" customHeight="1" x14ac:dyDescent="0.25">
      <c r="A26" s="534">
        <v>17</v>
      </c>
      <c r="B26" s="535">
        <f t="shared" si="1"/>
        <v>45199</v>
      </c>
      <c r="C26" s="551"/>
      <c r="D26" s="549">
        <v>0</v>
      </c>
      <c r="E26" s="549">
        <v>0</v>
      </c>
      <c r="F26" s="549">
        <v>0</v>
      </c>
      <c r="G26" s="549">
        <v>0</v>
      </c>
      <c r="H26" s="549">
        <v>0</v>
      </c>
      <c r="I26" s="549">
        <v>0</v>
      </c>
      <c r="J26" s="549">
        <v>0</v>
      </c>
      <c r="K26" s="549">
        <v>0</v>
      </c>
      <c r="L26" s="549">
        <v>0</v>
      </c>
      <c r="M26" s="549">
        <v>0</v>
      </c>
      <c r="N26" s="549">
        <v>0</v>
      </c>
      <c r="O26" s="550">
        <v>0</v>
      </c>
      <c r="P26" s="549">
        <v>0</v>
      </c>
      <c r="Q26" s="549">
        <v>0</v>
      </c>
      <c r="R26" s="551">
        <v>0</v>
      </c>
      <c r="S26" s="524">
        <v>6458435.8600000003</v>
      </c>
      <c r="T26" s="524">
        <v>11571369.51</v>
      </c>
      <c r="U26" s="524">
        <v>6608059.3100000005</v>
      </c>
      <c r="V26" s="523">
        <v>1072492.27</v>
      </c>
      <c r="W26" s="523">
        <v>192334.87</v>
      </c>
      <c r="X26" s="524"/>
      <c r="Y26" s="524"/>
      <c r="Z26" s="523"/>
      <c r="AA26" s="523"/>
      <c r="AB26" s="523"/>
      <c r="AC26" s="523"/>
      <c r="AD26" s="523"/>
      <c r="AE26" s="523"/>
      <c r="AF26" s="573"/>
      <c r="AG26" s="568">
        <v>596850.63</v>
      </c>
      <c r="AH26" s="533">
        <f t="shared" si="0"/>
        <v>26499542.449999999</v>
      </c>
    </row>
    <row r="27" spans="1:34" s="510" customFormat="1" ht="15" customHeight="1" x14ac:dyDescent="0.25">
      <c r="A27" s="534">
        <v>18</v>
      </c>
      <c r="B27" s="535">
        <f t="shared" si="1"/>
        <v>45169</v>
      </c>
      <c r="C27" s="551"/>
      <c r="D27" s="549">
        <v>0</v>
      </c>
      <c r="E27" s="549">
        <v>0</v>
      </c>
      <c r="F27" s="549">
        <v>0</v>
      </c>
      <c r="G27" s="549">
        <v>0</v>
      </c>
      <c r="H27" s="549">
        <v>0</v>
      </c>
      <c r="I27" s="549">
        <v>0</v>
      </c>
      <c r="J27" s="549">
        <v>0</v>
      </c>
      <c r="K27" s="549">
        <v>0</v>
      </c>
      <c r="L27" s="549">
        <v>0</v>
      </c>
      <c r="M27" s="549">
        <v>0</v>
      </c>
      <c r="N27" s="549">
        <v>0</v>
      </c>
      <c r="O27" s="550">
        <v>0</v>
      </c>
      <c r="P27" s="549">
        <v>0</v>
      </c>
      <c r="Q27" s="550">
        <v>0</v>
      </c>
      <c r="R27" s="549">
        <v>0</v>
      </c>
      <c r="S27" s="551">
        <v>0</v>
      </c>
      <c r="T27" s="524">
        <v>4763936.49</v>
      </c>
      <c r="U27" s="524">
        <v>9743051.6400000006</v>
      </c>
      <c r="V27" s="523">
        <v>5272797.32</v>
      </c>
      <c r="W27" s="523">
        <v>383795.94</v>
      </c>
      <c r="X27" s="524"/>
      <c r="Y27" s="524"/>
      <c r="Z27" s="523"/>
      <c r="AA27" s="523"/>
      <c r="AB27" s="523"/>
      <c r="AC27" s="523"/>
      <c r="AD27" s="523"/>
      <c r="AE27" s="523"/>
      <c r="AF27" s="565"/>
      <c r="AG27" s="574">
        <v>353514.78</v>
      </c>
      <c r="AH27" s="533">
        <f t="shared" si="0"/>
        <v>20517096.170000006</v>
      </c>
    </row>
    <row r="28" spans="1:34" s="510" customFormat="1" ht="15" customHeight="1" x14ac:dyDescent="0.25">
      <c r="A28" s="534">
        <v>19</v>
      </c>
      <c r="B28" s="535">
        <f t="shared" si="1"/>
        <v>45138</v>
      </c>
      <c r="C28" s="551"/>
      <c r="D28" s="549">
        <v>0</v>
      </c>
      <c r="E28" s="549">
        <v>0</v>
      </c>
      <c r="F28" s="549">
        <v>0</v>
      </c>
      <c r="G28" s="549">
        <v>0</v>
      </c>
      <c r="H28" s="549">
        <v>0</v>
      </c>
      <c r="I28" s="549">
        <v>0</v>
      </c>
      <c r="J28" s="549">
        <v>0</v>
      </c>
      <c r="K28" s="549">
        <v>0</v>
      </c>
      <c r="L28" s="549">
        <v>0</v>
      </c>
      <c r="M28" s="549">
        <v>0</v>
      </c>
      <c r="N28" s="549">
        <v>0</v>
      </c>
      <c r="O28" s="550">
        <v>0</v>
      </c>
      <c r="P28" s="549">
        <v>0</v>
      </c>
      <c r="Q28" s="550">
        <v>0</v>
      </c>
      <c r="R28" s="549">
        <v>0</v>
      </c>
      <c r="S28" s="549">
        <v>0</v>
      </c>
      <c r="T28" s="551">
        <v>0</v>
      </c>
      <c r="U28" s="524">
        <v>5409288.1200000001</v>
      </c>
      <c r="V28" s="523">
        <v>10561717.119999999</v>
      </c>
      <c r="W28" s="523">
        <v>6579582.0099999998</v>
      </c>
      <c r="X28" s="524"/>
      <c r="Y28" s="524"/>
      <c r="Z28" s="523"/>
      <c r="AA28" s="523"/>
      <c r="AB28" s="523"/>
      <c r="AC28" s="523"/>
      <c r="AD28" s="523"/>
      <c r="AE28" s="523"/>
      <c r="AF28" s="565"/>
      <c r="AG28" s="569">
        <v>3319558.93</v>
      </c>
      <c r="AH28" s="533">
        <f t="shared" si="0"/>
        <v>25870146.18</v>
      </c>
    </row>
    <row r="29" spans="1:34" s="510" customFormat="1" ht="15" customHeight="1" x14ac:dyDescent="0.25">
      <c r="A29" s="534">
        <v>20</v>
      </c>
      <c r="B29" s="535">
        <f t="shared" si="1"/>
        <v>45107</v>
      </c>
      <c r="C29" s="551"/>
      <c r="D29" s="549">
        <v>0</v>
      </c>
      <c r="E29" s="549">
        <v>0</v>
      </c>
      <c r="F29" s="549">
        <v>0</v>
      </c>
      <c r="G29" s="549">
        <v>0</v>
      </c>
      <c r="H29" s="549">
        <v>0</v>
      </c>
      <c r="I29" s="549">
        <v>0</v>
      </c>
      <c r="J29" s="549">
        <v>0</v>
      </c>
      <c r="K29" s="549">
        <v>0</v>
      </c>
      <c r="L29" s="549">
        <v>0</v>
      </c>
      <c r="M29" s="549">
        <v>0</v>
      </c>
      <c r="N29" s="549">
        <v>0</v>
      </c>
      <c r="O29" s="550">
        <v>0</v>
      </c>
      <c r="P29" s="549">
        <v>0</v>
      </c>
      <c r="Q29" s="550">
        <v>0</v>
      </c>
      <c r="R29" s="549">
        <v>0</v>
      </c>
      <c r="S29" s="550">
        <v>0</v>
      </c>
      <c r="T29" s="549">
        <v>0</v>
      </c>
      <c r="U29" s="551">
        <v>0</v>
      </c>
      <c r="V29" s="523">
        <v>4249646.0999999996</v>
      </c>
      <c r="W29" s="523">
        <v>8770526.7599999998</v>
      </c>
      <c r="X29" s="524"/>
      <c r="Y29" s="524"/>
      <c r="Z29" s="523"/>
      <c r="AA29" s="523"/>
      <c r="AB29" s="523"/>
      <c r="AC29" s="523"/>
      <c r="AD29" s="523"/>
      <c r="AE29" s="523"/>
      <c r="AF29" s="565"/>
      <c r="AG29" s="568">
        <v>6016947.6600000001</v>
      </c>
      <c r="AH29" s="533">
        <f t="shared" si="0"/>
        <v>19037120.52</v>
      </c>
    </row>
    <row r="30" spans="1:34" s="510" customFormat="1" ht="15" customHeight="1" x14ac:dyDescent="0.25">
      <c r="A30" s="534">
        <v>21</v>
      </c>
      <c r="B30" s="535">
        <f t="shared" si="1"/>
        <v>45077</v>
      </c>
      <c r="C30" s="551"/>
      <c r="D30" s="549">
        <v>0</v>
      </c>
      <c r="E30" s="549">
        <v>0</v>
      </c>
      <c r="F30" s="549">
        <v>0</v>
      </c>
      <c r="G30" s="549">
        <v>0</v>
      </c>
      <c r="H30" s="549">
        <v>0</v>
      </c>
      <c r="I30" s="549">
        <v>0</v>
      </c>
      <c r="J30" s="549">
        <v>0</v>
      </c>
      <c r="K30" s="549">
        <v>0</v>
      </c>
      <c r="L30" s="549">
        <v>0</v>
      </c>
      <c r="M30" s="549">
        <v>0</v>
      </c>
      <c r="N30" s="549">
        <v>0</v>
      </c>
      <c r="O30" s="550">
        <v>0</v>
      </c>
      <c r="P30" s="549">
        <v>0</v>
      </c>
      <c r="Q30" s="550">
        <v>0</v>
      </c>
      <c r="R30" s="549">
        <v>0</v>
      </c>
      <c r="S30" s="550">
        <v>0</v>
      </c>
      <c r="T30" s="550">
        <v>0</v>
      </c>
      <c r="U30" s="550">
        <v>0</v>
      </c>
      <c r="V30" s="549">
        <v>0</v>
      </c>
      <c r="W30" s="523">
        <v>5574948.2399999993</v>
      </c>
      <c r="X30" s="524"/>
      <c r="Y30" s="524"/>
      <c r="Z30" s="523"/>
      <c r="AA30" s="523"/>
      <c r="AB30" s="523"/>
      <c r="AC30" s="523"/>
      <c r="AD30" s="523"/>
      <c r="AE30" s="523"/>
      <c r="AF30" s="565"/>
      <c r="AG30" s="568">
        <v>14431915.59</v>
      </c>
      <c r="AH30" s="533">
        <f t="shared" si="0"/>
        <v>20006863.829999998</v>
      </c>
    </row>
    <row r="31" spans="1:34" s="510" customFormat="1" ht="15" customHeight="1" x14ac:dyDescent="0.25">
      <c r="A31" s="534">
        <v>22</v>
      </c>
      <c r="B31" s="535">
        <f t="shared" si="1"/>
        <v>45046</v>
      </c>
      <c r="C31" s="551"/>
      <c r="D31" s="549">
        <v>0</v>
      </c>
      <c r="E31" s="549">
        <v>0</v>
      </c>
      <c r="F31" s="549">
        <v>0</v>
      </c>
      <c r="G31" s="549">
        <v>0</v>
      </c>
      <c r="H31" s="549">
        <v>0</v>
      </c>
      <c r="I31" s="549">
        <v>0</v>
      </c>
      <c r="J31" s="549">
        <v>0</v>
      </c>
      <c r="K31" s="549">
        <v>0</v>
      </c>
      <c r="L31" s="549">
        <v>0</v>
      </c>
      <c r="M31" s="549">
        <v>0</v>
      </c>
      <c r="N31" s="549">
        <v>0</v>
      </c>
      <c r="O31" s="550">
        <v>0</v>
      </c>
      <c r="P31" s="549">
        <v>0</v>
      </c>
      <c r="Q31" s="550">
        <v>0</v>
      </c>
      <c r="R31" s="549">
        <v>0</v>
      </c>
      <c r="S31" s="550">
        <v>0</v>
      </c>
      <c r="T31" s="550">
        <v>0</v>
      </c>
      <c r="U31" s="550">
        <v>0</v>
      </c>
      <c r="V31" s="549">
        <v>0</v>
      </c>
      <c r="W31" s="549">
        <v>0</v>
      </c>
      <c r="X31" s="524"/>
      <c r="Y31" s="524"/>
      <c r="Z31" s="523"/>
      <c r="AA31" s="523"/>
      <c r="AB31" s="523"/>
      <c r="AC31" s="523"/>
      <c r="AD31" s="523"/>
      <c r="AE31" s="523"/>
      <c r="AF31" s="565"/>
      <c r="AG31" s="568"/>
      <c r="AH31" s="533">
        <f t="shared" si="0"/>
        <v>0</v>
      </c>
    </row>
    <row r="32" spans="1:34" s="510" customFormat="1" ht="15" customHeight="1" x14ac:dyDescent="0.25">
      <c r="A32" s="534">
        <v>23</v>
      </c>
      <c r="B32" s="535">
        <f t="shared" si="1"/>
        <v>45016</v>
      </c>
      <c r="C32" s="551"/>
      <c r="D32" s="549">
        <v>0</v>
      </c>
      <c r="E32" s="549">
        <v>0</v>
      </c>
      <c r="F32" s="549">
        <v>0</v>
      </c>
      <c r="G32" s="549">
        <v>0</v>
      </c>
      <c r="H32" s="549">
        <v>0</v>
      </c>
      <c r="I32" s="549">
        <v>0</v>
      </c>
      <c r="J32" s="549">
        <v>0</v>
      </c>
      <c r="K32" s="549">
        <v>0</v>
      </c>
      <c r="L32" s="549">
        <v>0</v>
      </c>
      <c r="M32" s="549">
        <v>0</v>
      </c>
      <c r="N32" s="549">
        <v>0</v>
      </c>
      <c r="O32" s="550">
        <v>0</v>
      </c>
      <c r="P32" s="549">
        <v>0</v>
      </c>
      <c r="Q32" s="550">
        <v>0</v>
      </c>
      <c r="R32" s="549">
        <v>0</v>
      </c>
      <c r="S32" s="550">
        <v>0</v>
      </c>
      <c r="T32" s="550">
        <v>0</v>
      </c>
      <c r="U32" s="550">
        <v>0</v>
      </c>
      <c r="V32" s="549">
        <v>0</v>
      </c>
      <c r="W32" s="550">
        <v>0</v>
      </c>
      <c r="X32" s="549"/>
      <c r="Y32" s="524"/>
      <c r="Z32" s="523"/>
      <c r="AA32" s="523"/>
      <c r="AB32" s="523"/>
      <c r="AC32" s="523"/>
      <c r="AD32" s="523"/>
      <c r="AE32" s="523"/>
      <c r="AF32" s="565"/>
      <c r="AG32" s="568"/>
      <c r="AH32" s="533">
        <f t="shared" si="0"/>
        <v>0</v>
      </c>
    </row>
    <row r="33" spans="1:79" s="510" customFormat="1" ht="15" customHeight="1" x14ac:dyDescent="0.25">
      <c r="A33" s="534">
        <v>24</v>
      </c>
      <c r="B33" s="535">
        <f t="shared" si="1"/>
        <v>44985</v>
      </c>
      <c r="C33" s="551"/>
      <c r="D33" s="549">
        <v>0</v>
      </c>
      <c r="E33" s="549">
        <v>0</v>
      </c>
      <c r="F33" s="549">
        <v>0</v>
      </c>
      <c r="G33" s="549">
        <v>0</v>
      </c>
      <c r="H33" s="549">
        <v>0</v>
      </c>
      <c r="I33" s="549">
        <v>0</v>
      </c>
      <c r="J33" s="549">
        <v>0</v>
      </c>
      <c r="K33" s="549">
        <v>0</v>
      </c>
      <c r="L33" s="549">
        <v>0</v>
      </c>
      <c r="M33" s="549">
        <v>0</v>
      </c>
      <c r="N33" s="549">
        <v>0</v>
      </c>
      <c r="O33" s="550">
        <v>0</v>
      </c>
      <c r="P33" s="549">
        <v>0</v>
      </c>
      <c r="Q33" s="550">
        <v>0</v>
      </c>
      <c r="R33" s="549">
        <v>0</v>
      </c>
      <c r="S33" s="550">
        <v>0</v>
      </c>
      <c r="T33" s="550">
        <v>0</v>
      </c>
      <c r="U33" s="550">
        <v>0</v>
      </c>
      <c r="V33" s="549">
        <v>0</v>
      </c>
      <c r="W33" s="550">
        <v>0</v>
      </c>
      <c r="X33" s="550"/>
      <c r="Y33" s="549"/>
      <c r="Z33" s="523"/>
      <c r="AA33" s="523"/>
      <c r="AB33" s="523"/>
      <c r="AC33" s="523"/>
      <c r="AD33" s="523"/>
      <c r="AE33" s="523"/>
      <c r="AF33" s="565"/>
      <c r="AG33" s="568">
        <v>0</v>
      </c>
      <c r="AH33" s="533">
        <f t="shared" si="0"/>
        <v>0</v>
      </c>
    </row>
    <row r="34" spans="1:79" s="510" customFormat="1" ht="15" customHeight="1" x14ac:dyDescent="0.25">
      <c r="A34" s="534">
        <v>25</v>
      </c>
      <c r="B34" s="535">
        <f t="shared" si="1"/>
        <v>44957</v>
      </c>
      <c r="C34" s="551"/>
      <c r="D34" s="549">
        <v>0</v>
      </c>
      <c r="E34" s="549">
        <v>0</v>
      </c>
      <c r="F34" s="549">
        <v>0</v>
      </c>
      <c r="G34" s="549">
        <v>0</v>
      </c>
      <c r="H34" s="549">
        <v>0</v>
      </c>
      <c r="I34" s="549">
        <v>0</v>
      </c>
      <c r="J34" s="549">
        <v>0</v>
      </c>
      <c r="K34" s="549">
        <v>0</v>
      </c>
      <c r="L34" s="549">
        <v>0</v>
      </c>
      <c r="M34" s="549">
        <v>0</v>
      </c>
      <c r="N34" s="549">
        <v>0</v>
      </c>
      <c r="O34" s="550">
        <v>0</v>
      </c>
      <c r="P34" s="549">
        <v>0</v>
      </c>
      <c r="Q34" s="550">
        <v>0</v>
      </c>
      <c r="R34" s="549">
        <v>0</v>
      </c>
      <c r="S34" s="550">
        <v>0</v>
      </c>
      <c r="T34" s="550">
        <v>0</v>
      </c>
      <c r="U34" s="550">
        <v>0</v>
      </c>
      <c r="V34" s="549">
        <v>0</v>
      </c>
      <c r="W34" s="550">
        <v>0</v>
      </c>
      <c r="X34" s="550"/>
      <c r="Y34" s="550"/>
      <c r="Z34" s="549"/>
      <c r="AA34" s="523"/>
      <c r="AB34" s="523"/>
      <c r="AC34" s="523"/>
      <c r="AD34" s="523"/>
      <c r="AE34" s="523"/>
      <c r="AF34" s="565"/>
      <c r="AG34" s="568"/>
      <c r="AH34" s="533">
        <f t="shared" si="0"/>
        <v>0</v>
      </c>
    </row>
    <row r="35" spans="1:79" s="510" customFormat="1" ht="15" customHeight="1" x14ac:dyDescent="0.25">
      <c r="A35" s="534">
        <v>26</v>
      </c>
      <c r="B35" s="535">
        <f t="shared" si="1"/>
        <v>44926</v>
      </c>
      <c r="C35" s="551"/>
      <c r="D35" s="549">
        <v>0</v>
      </c>
      <c r="E35" s="549">
        <v>0</v>
      </c>
      <c r="F35" s="549">
        <v>0</v>
      </c>
      <c r="G35" s="549">
        <v>0</v>
      </c>
      <c r="H35" s="549">
        <v>0</v>
      </c>
      <c r="I35" s="549">
        <v>0</v>
      </c>
      <c r="J35" s="549">
        <v>0</v>
      </c>
      <c r="K35" s="549">
        <v>0</v>
      </c>
      <c r="L35" s="549">
        <v>0</v>
      </c>
      <c r="M35" s="549">
        <v>0</v>
      </c>
      <c r="N35" s="549">
        <v>0</v>
      </c>
      <c r="O35" s="550">
        <v>0</v>
      </c>
      <c r="P35" s="549">
        <v>0</v>
      </c>
      <c r="Q35" s="550">
        <v>0</v>
      </c>
      <c r="R35" s="549">
        <v>0</v>
      </c>
      <c r="S35" s="550">
        <v>0</v>
      </c>
      <c r="T35" s="550">
        <v>0</v>
      </c>
      <c r="U35" s="550">
        <v>0</v>
      </c>
      <c r="V35" s="549">
        <v>0</v>
      </c>
      <c r="W35" s="550">
        <v>0</v>
      </c>
      <c r="X35" s="550"/>
      <c r="Y35" s="550"/>
      <c r="Z35" s="549"/>
      <c r="AA35" s="549"/>
      <c r="AB35" s="523"/>
      <c r="AC35" s="523"/>
      <c r="AD35" s="523"/>
      <c r="AE35" s="523"/>
      <c r="AF35" s="565"/>
      <c r="AG35" s="568"/>
      <c r="AH35" s="533">
        <f t="shared" si="0"/>
        <v>0</v>
      </c>
    </row>
    <row r="36" spans="1:79" s="510" customFormat="1" ht="15" customHeight="1" x14ac:dyDescent="0.25">
      <c r="A36" s="534">
        <v>27</v>
      </c>
      <c r="B36" s="535">
        <f t="shared" si="1"/>
        <v>44895</v>
      </c>
      <c r="C36" s="551"/>
      <c r="D36" s="549">
        <v>0</v>
      </c>
      <c r="E36" s="549">
        <v>0</v>
      </c>
      <c r="F36" s="549">
        <v>0</v>
      </c>
      <c r="G36" s="549">
        <v>0</v>
      </c>
      <c r="H36" s="549">
        <v>0</v>
      </c>
      <c r="I36" s="549">
        <v>0</v>
      </c>
      <c r="J36" s="549">
        <v>0</v>
      </c>
      <c r="K36" s="549">
        <v>0</v>
      </c>
      <c r="L36" s="549">
        <v>0</v>
      </c>
      <c r="M36" s="549">
        <v>0</v>
      </c>
      <c r="N36" s="549">
        <v>0</v>
      </c>
      <c r="O36" s="550">
        <v>0</v>
      </c>
      <c r="P36" s="549">
        <v>0</v>
      </c>
      <c r="Q36" s="550">
        <v>0</v>
      </c>
      <c r="R36" s="549">
        <v>0</v>
      </c>
      <c r="S36" s="550">
        <v>0</v>
      </c>
      <c r="T36" s="550">
        <v>0</v>
      </c>
      <c r="U36" s="550">
        <v>0</v>
      </c>
      <c r="V36" s="549">
        <v>0</v>
      </c>
      <c r="W36" s="550">
        <v>0</v>
      </c>
      <c r="X36" s="550"/>
      <c r="Y36" s="550"/>
      <c r="Z36" s="549"/>
      <c r="AA36" s="550"/>
      <c r="AB36" s="549"/>
      <c r="AC36" s="523"/>
      <c r="AD36" s="523"/>
      <c r="AE36" s="523"/>
      <c r="AF36" s="565"/>
      <c r="AG36" s="568"/>
      <c r="AH36" s="533">
        <f t="shared" si="0"/>
        <v>0</v>
      </c>
    </row>
    <row r="37" spans="1:79" s="510" customFormat="1" ht="15" customHeight="1" x14ac:dyDescent="0.25">
      <c r="A37" s="534">
        <v>28</v>
      </c>
      <c r="B37" s="535">
        <f t="shared" si="1"/>
        <v>44865</v>
      </c>
      <c r="C37" s="551"/>
      <c r="D37" s="549"/>
      <c r="E37" s="549"/>
      <c r="F37" s="549"/>
      <c r="G37" s="549"/>
      <c r="H37" s="549"/>
      <c r="I37" s="549"/>
      <c r="J37" s="549"/>
      <c r="K37" s="549"/>
      <c r="L37" s="549"/>
      <c r="M37" s="549"/>
      <c r="N37" s="549"/>
      <c r="O37" s="550"/>
      <c r="P37" s="549"/>
      <c r="Q37" s="550"/>
      <c r="R37" s="549"/>
      <c r="S37" s="550"/>
      <c r="T37" s="550"/>
      <c r="U37" s="550"/>
      <c r="V37" s="549"/>
      <c r="W37" s="550"/>
      <c r="X37" s="550"/>
      <c r="Y37" s="550"/>
      <c r="Z37" s="549"/>
      <c r="AA37" s="550"/>
      <c r="AB37" s="549"/>
      <c r="AC37" s="549"/>
      <c r="AD37" s="523"/>
      <c r="AE37" s="523"/>
      <c r="AF37" s="565"/>
      <c r="AG37" s="568"/>
      <c r="AH37" s="533">
        <f t="shared" si="0"/>
        <v>0</v>
      </c>
    </row>
    <row r="38" spans="1:79" s="510" customFormat="1" ht="15" customHeight="1" x14ac:dyDescent="0.25">
      <c r="A38" s="534">
        <v>29</v>
      </c>
      <c r="B38" s="535">
        <f t="shared" si="1"/>
        <v>44834</v>
      </c>
      <c r="C38" s="551"/>
      <c r="D38" s="549"/>
      <c r="E38" s="549"/>
      <c r="F38" s="549"/>
      <c r="G38" s="549"/>
      <c r="H38" s="549"/>
      <c r="I38" s="549"/>
      <c r="J38" s="549"/>
      <c r="K38" s="549"/>
      <c r="L38" s="549"/>
      <c r="M38" s="549"/>
      <c r="N38" s="549"/>
      <c r="O38" s="550"/>
      <c r="P38" s="549"/>
      <c r="Q38" s="550"/>
      <c r="R38" s="549"/>
      <c r="S38" s="550"/>
      <c r="T38" s="550"/>
      <c r="U38" s="550"/>
      <c r="V38" s="549"/>
      <c r="W38" s="550"/>
      <c r="X38" s="550"/>
      <c r="Y38" s="550"/>
      <c r="Z38" s="549"/>
      <c r="AA38" s="550"/>
      <c r="AB38" s="549"/>
      <c r="AC38" s="549"/>
      <c r="AD38" s="549"/>
      <c r="AE38" s="523"/>
      <c r="AF38" s="565"/>
      <c r="AG38" s="568"/>
      <c r="AH38" s="533">
        <f t="shared" si="0"/>
        <v>0</v>
      </c>
    </row>
    <row r="39" spans="1:79" s="510" customFormat="1" ht="15" customHeight="1" x14ac:dyDescent="0.25">
      <c r="A39" s="534">
        <v>30</v>
      </c>
      <c r="B39" s="535">
        <f t="shared" si="1"/>
        <v>44804</v>
      </c>
      <c r="C39" s="551"/>
      <c r="D39" s="549"/>
      <c r="E39" s="549"/>
      <c r="F39" s="549"/>
      <c r="G39" s="549"/>
      <c r="H39" s="549"/>
      <c r="I39" s="549"/>
      <c r="J39" s="549"/>
      <c r="K39" s="549"/>
      <c r="L39" s="549"/>
      <c r="M39" s="549"/>
      <c r="N39" s="549"/>
      <c r="O39" s="550"/>
      <c r="P39" s="549"/>
      <c r="Q39" s="550"/>
      <c r="R39" s="549"/>
      <c r="S39" s="550"/>
      <c r="T39" s="550"/>
      <c r="U39" s="550"/>
      <c r="V39" s="549"/>
      <c r="W39" s="550"/>
      <c r="X39" s="550"/>
      <c r="Y39" s="550"/>
      <c r="Z39" s="549"/>
      <c r="AA39" s="550"/>
      <c r="AB39" s="549"/>
      <c r="AC39" s="549"/>
      <c r="AD39" s="549"/>
      <c r="AE39" s="549"/>
      <c r="AF39" s="565"/>
      <c r="AG39" s="568"/>
      <c r="AH39" s="533">
        <f>SUM(C39:AG39)</f>
        <v>0</v>
      </c>
    </row>
    <row r="40" spans="1:79" s="510" customFormat="1" ht="31.35" customHeight="1" thickBot="1" x14ac:dyDescent="0.3">
      <c r="A40" s="534">
        <v>31</v>
      </c>
      <c r="B40" s="535" t="s">
        <v>528</v>
      </c>
      <c r="C40" s="577"/>
      <c r="D40" s="551"/>
      <c r="E40" s="549"/>
      <c r="F40" s="549"/>
      <c r="G40" s="549"/>
      <c r="H40" s="549"/>
      <c r="I40" s="549"/>
      <c r="J40" s="549"/>
      <c r="K40" s="549"/>
      <c r="L40" s="549"/>
      <c r="M40" s="549"/>
      <c r="N40" s="549"/>
      <c r="O40" s="549"/>
      <c r="P40" s="550"/>
      <c r="Q40" s="549"/>
      <c r="R40" s="550"/>
      <c r="S40" s="549"/>
      <c r="T40" s="550"/>
      <c r="U40" s="550"/>
      <c r="V40" s="550"/>
      <c r="W40" s="549"/>
      <c r="X40" s="550"/>
      <c r="Y40" s="550"/>
      <c r="Z40" s="550"/>
      <c r="AA40" s="549"/>
      <c r="AB40" s="550"/>
      <c r="AC40" s="549"/>
      <c r="AD40" s="549"/>
      <c r="AE40" s="549"/>
      <c r="AF40" s="587"/>
      <c r="AG40" s="567">
        <v>898561452.34999895</v>
      </c>
      <c r="AH40" s="533">
        <f>SUM(C40:AG40)</f>
        <v>898561452.34999895</v>
      </c>
    </row>
    <row r="41" spans="1:79" s="510" customFormat="1" ht="40.35" customHeight="1" x14ac:dyDescent="0.25">
      <c r="A41" s="536">
        <v>32</v>
      </c>
      <c r="B41" s="537" t="s">
        <v>1307</v>
      </c>
      <c r="C41" s="555">
        <f>SUM(C10:C40)</f>
        <v>0</v>
      </c>
      <c r="D41" s="555">
        <f>SUM(D10:D40)</f>
        <v>22188882.799999997</v>
      </c>
      <c r="E41" s="555">
        <f t="shared" ref="E41:AC41" si="2">SUM(E10:E40)</f>
        <v>25653529.600000001</v>
      </c>
      <c r="F41" s="555">
        <f t="shared" si="2"/>
        <v>29220484.219999999</v>
      </c>
      <c r="G41" s="555">
        <f t="shared" si="2"/>
        <v>26939429.999999996</v>
      </c>
      <c r="H41" s="555">
        <f t="shared" si="2"/>
        <v>27181952.079999998</v>
      </c>
      <c r="I41" s="555">
        <f t="shared" si="2"/>
        <v>27371336.139999997</v>
      </c>
      <c r="J41" s="555">
        <f t="shared" si="2"/>
        <v>25269613.399999999</v>
      </c>
      <c r="K41" s="555">
        <f t="shared" si="2"/>
        <v>27078488.140000001</v>
      </c>
      <c r="L41" s="555">
        <f t="shared" si="2"/>
        <v>25964710.030000001</v>
      </c>
      <c r="M41" s="555">
        <f t="shared" si="2"/>
        <v>26470927.370000005</v>
      </c>
      <c r="N41" s="555">
        <f t="shared" si="2"/>
        <v>24338145.020000003</v>
      </c>
      <c r="O41" s="555">
        <f t="shared" si="2"/>
        <v>25518596.330000002</v>
      </c>
      <c r="P41" s="555">
        <f t="shared" si="2"/>
        <v>24378381.18</v>
      </c>
      <c r="Q41" s="555">
        <f t="shared" si="2"/>
        <v>24408687.129999999</v>
      </c>
      <c r="R41" s="555">
        <f t="shared" si="2"/>
        <v>24847520.419999998</v>
      </c>
      <c r="S41" s="555">
        <f t="shared" si="2"/>
        <v>23345824.780000001</v>
      </c>
      <c r="T41" s="555">
        <f t="shared" si="2"/>
        <v>24402980.82</v>
      </c>
      <c r="U41" s="555">
        <f t="shared" si="2"/>
        <v>23659255.180000003</v>
      </c>
      <c r="V41" s="555">
        <f t="shared" si="2"/>
        <v>22003537.630000003</v>
      </c>
      <c r="W41" s="555">
        <f t="shared" si="2"/>
        <v>22594353.939999998</v>
      </c>
      <c r="X41" s="555">
        <f t="shared" si="2"/>
        <v>0</v>
      </c>
      <c r="Y41" s="555">
        <f t="shared" si="2"/>
        <v>0</v>
      </c>
      <c r="Z41" s="555">
        <f t="shared" si="2"/>
        <v>0</v>
      </c>
      <c r="AA41" s="555">
        <f t="shared" si="2"/>
        <v>0</v>
      </c>
      <c r="AB41" s="555">
        <f t="shared" si="2"/>
        <v>0</v>
      </c>
      <c r="AC41" s="555">
        <f t="shared" si="2"/>
        <v>0</v>
      </c>
      <c r="AD41" s="555">
        <f>SUM(AD10:AD40)</f>
        <v>0</v>
      </c>
      <c r="AE41" s="555">
        <f>SUM(AE10:AE40)</f>
        <v>0</v>
      </c>
      <c r="AF41" s="555">
        <f>SUM(AF10:AF40)</f>
        <v>0</v>
      </c>
      <c r="AG41" s="579">
        <f>SUM(AG10:AG40)</f>
        <v>926588608.45999897</v>
      </c>
      <c r="AH41" s="556">
        <f>SUM(AH10:AH40)</f>
        <v>1429425244.6699989</v>
      </c>
    </row>
    <row r="42" spans="1:79" s="510" customFormat="1" ht="40.35" customHeight="1" x14ac:dyDescent="0.25">
      <c r="A42" s="538">
        <v>33</v>
      </c>
      <c r="B42" s="539" t="s">
        <v>1441</v>
      </c>
      <c r="C42" s="525"/>
      <c r="D42" s="523"/>
      <c r="E42" s="523"/>
      <c r="F42" s="523"/>
      <c r="G42" s="526"/>
      <c r="H42" s="523"/>
      <c r="I42" s="523"/>
      <c r="J42" s="523"/>
      <c r="K42" s="523"/>
      <c r="L42" s="523"/>
      <c r="M42" s="523"/>
      <c r="N42" s="523"/>
      <c r="O42" s="524"/>
      <c r="P42" s="523"/>
      <c r="Q42" s="524"/>
      <c r="R42" s="523"/>
      <c r="S42" s="524"/>
      <c r="T42" s="524"/>
      <c r="U42" s="524"/>
      <c r="V42" s="523"/>
      <c r="W42" s="524"/>
      <c r="X42" s="524"/>
      <c r="Y42" s="524"/>
      <c r="Z42" s="523"/>
      <c r="AA42" s="524"/>
      <c r="AB42" s="523"/>
      <c r="AC42" s="524"/>
      <c r="AD42" s="524"/>
      <c r="AE42" s="523"/>
      <c r="AF42" s="589"/>
      <c r="AG42" s="526"/>
      <c r="AH42" s="533">
        <f>SUM(C42:AG42)</f>
        <v>0</v>
      </c>
    </row>
    <row r="43" spans="1:79" s="510" customFormat="1" ht="40.35" customHeight="1" x14ac:dyDescent="0.25">
      <c r="A43" s="538">
        <v>34</v>
      </c>
      <c r="B43" s="539" t="s">
        <v>522</v>
      </c>
      <c r="C43" s="512"/>
      <c r="D43" s="513"/>
      <c r="E43" s="513"/>
      <c r="F43" s="513"/>
      <c r="G43" s="513"/>
      <c r="H43" s="513"/>
      <c r="I43" s="513"/>
      <c r="J43" s="513"/>
      <c r="K43" s="513"/>
      <c r="L43" s="513"/>
      <c r="M43" s="513"/>
      <c r="N43" s="513"/>
      <c r="O43" s="514"/>
      <c r="P43" s="513"/>
      <c r="Q43" s="514"/>
      <c r="R43" s="513"/>
      <c r="S43" s="514"/>
      <c r="T43" s="514"/>
      <c r="U43" s="514"/>
      <c r="V43" s="513"/>
      <c r="W43" s="514"/>
      <c r="X43" s="514"/>
      <c r="Y43" s="514"/>
      <c r="Z43" s="513"/>
      <c r="AA43" s="514"/>
      <c r="AB43" s="513"/>
      <c r="AC43" s="514"/>
      <c r="AD43" s="570"/>
      <c r="AE43" s="680"/>
      <c r="AF43" s="590"/>
      <c r="AG43" s="588"/>
      <c r="AH43" s="515"/>
    </row>
    <row r="44" spans="1:79" s="510" customFormat="1" ht="40.35" customHeight="1" x14ac:dyDescent="0.25">
      <c r="A44" s="538">
        <v>35</v>
      </c>
      <c r="B44" s="540" t="s">
        <v>1347</v>
      </c>
      <c r="C44" s="525"/>
      <c r="D44" s="523"/>
      <c r="E44" s="523"/>
      <c r="F44" s="523"/>
      <c r="G44" s="526"/>
      <c r="H44" s="523"/>
      <c r="I44" s="523"/>
      <c r="J44" s="523"/>
      <c r="K44" s="523"/>
      <c r="L44" s="523"/>
      <c r="M44" s="523"/>
      <c r="N44" s="523"/>
      <c r="O44" s="524"/>
      <c r="P44" s="523"/>
      <c r="Q44" s="524"/>
      <c r="R44" s="523"/>
      <c r="S44" s="524"/>
      <c r="T44" s="524"/>
      <c r="U44" s="524"/>
      <c r="V44" s="523"/>
      <c r="W44" s="524"/>
      <c r="X44" s="524"/>
      <c r="Y44" s="524"/>
      <c r="Z44" s="523"/>
      <c r="AA44" s="524"/>
      <c r="AB44" s="523"/>
      <c r="AC44" s="524"/>
      <c r="AD44" s="524"/>
      <c r="AE44" s="523"/>
      <c r="AF44" s="589"/>
      <c r="AG44" s="526"/>
      <c r="AH44" s="529">
        <f>SUM(C44:AG44)</f>
        <v>0</v>
      </c>
    </row>
    <row r="45" spans="1:79" s="510" customFormat="1" ht="39.6" x14ac:dyDescent="0.25">
      <c r="A45" s="538">
        <v>36</v>
      </c>
      <c r="B45" s="541" t="s">
        <v>1440</v>
      </c>
      <c r="C45" s="527">
        <f>SUM(C41:C44)</f>
        <v>0</v>
      </c>
      <c r="D45" s="527">
        <f>SUM(D41:D44)</f>
        <v>22188882.799999997</v>
      </c>
      <c r="E45" s="528">
        <f t="shared" ref="E45:AB45" si="3">SUM(E41:E44)</f>
        <v>25653529.600000001</v>
      </c>
      <c r="F45" s="528">
        <f>SUM(F41:F44)</f>
        <v>29220484.219999999</v>
      </c>
      <c r="G45" s="528">
        <f t="shared" si="3"/>
        <v>26939429.999999996</v>
      </c>
      <c r="H45" s="528">
        <f t="shared" si="3"/>
        <v>27181952.079999998</v>
      </c>
      <c r="I45" s="528">
        <f t="shared" si="3"/>
        <v>27371336.139999997</v>
      </c>
      <c r="J45" s="528">
        <f t="shared" si="3"/>
        <v>25269613.399999999</v>
      </c>
      <c r="K45" s="528">
        <f t="shared" si="3"/>
        <v>27078488.140000001</v>
      </c>
      <c r="L45" s="528">
        <f t="shared" si="3"/>
        <v>25964710.030000001</v>
      </c>
      <c r="M45" s="528">
        <f t="shared" si="3"/>
        <v>26470927.370000005</v>
      </c>
      <c r="N45" s="528">
        <f t="shared" si="3"/>
        <v>24338145.020000003</v>
      </c>
      <c r="O45" s="528">
        <f t="shared" si="3"/>
        <v>25518596.330000002</v>
      </c>
      <c r="P45" s="528">
        <f t="shared" si="3"/>
        <v>24378381.18</v>
      </c>
      <c r="Q45" s="528">
        <f t="shared" si="3"/>
        <v>24408687.129999999</v>
      </c>
      <c r="R45" s="528">
        <f t="shared" si="3"/>
        <v>24847520.419999998</v>
      </c>
      <c r="S45" s="528">
        <f t="shared" si="3"/>
        <v>23345824.780000001</v>
      </c>
      <c r="T45" s="528">
        <f t="shared" si="3"/>
        <v>24402980.82</v>
      </c>
      <c r="U45" s="528">
        <f t="shared" si="3"/>
        <v>23659255.180000003</v>
      </c>
      <c r="V45" s="528">
        <f t="shared" si="3"/>
        <v>22003537.630000003</v>
      </c>
      <c r="W45" s="528">
        <f t="shared" si="3"/>
        <v>22594353.939999998</v>
      </c>
      <c r="X45" s="528">
        <f t="shared" si="3"/>
        <v>0</v>
      </c>
      <c r="Y45" s="528">
        <f t="shared" si="3"/>
        <v>0</v>
      </c>
      <c r="Z45" s="528">
        <f t="shared" si="3"/>
        <v>0</v>
      </c>
      <c r="AA45" s="528">
        <f t="shared" si="3"/>
        <v>0</v>
      </c>
      <c r="AB45" s="528">
        <f t="shared" si="3"/>
        <v>0</v>
      </c>
      <c r="AC45" s="528">
        <f t="shared" ref="AC45:AH45" si="4">SUM(AC41:AC44)</f>
        <v>0</v>
      </c>
      <c r="AD45" s="528">
        <f t="shared" si="4"/>
        <v>0</v>
      </c>
      <c r="AE45" s="528">
        <f t="shared" si="4"/>
        <v>0</v>
      </c>
      <c r="AF45" s="528">
        <f t="shared" si="4"/>
        <v>0</v>
      </c>
      <c r="AG45" s="530">
        <f t="shared" si="4"/>
        <v>926588608.45999897</v>
      </c>
      <c r="AH45" s="529">
        <f t="shared" si="4"/>
        <v>1429425244.6699989</v>
      </c>
    </row>
    <row r="46" spans="1:79" s="510" customFormat="1" ht="53.25" customHeight="1" x14ac:dyDescent="0.25">
      <c r="A46" s="538">
        <v>37</v>
      </c>
      <c r="B46" s="541" t="s">
        <v>523</v>
      </c>
      <c r="C46" s="525"/>
      <c r="D46" s="523">
        <v>268995.24638311652</v>
      </c>
      <c r="E46" s="523">
        <v>116102.48721589534</v>
      </c>
      <c r="F46" s="523">
        <v>89678.748619424005</v>
      </c>
      <c r="G46" s="526">
        <v>60288.558255300297</v>
      </c>
      <c r="H46" s="523">
        <v>39848.053665639331</v>
      </c>
      <c r="I46" s="523">
        <v>20499.272296229261</v>
      </c>
      <c r="J46" s="523">
        <v>7402.0338848300371</v>
      </c>
      <c r="K46" s="523">
        <v>1530.1943719710216</v>
      </c>
      <c r="L46" s="523">
        <v>2829.1254084291427</v>
      </c>
      <c r="M46" s="523">
        <v>8.7060331023770123E-8</v>
      </c>
      <c r="N46" s="523">
        <v>0</v>
      </c>
      <c r="O46" s="524">
        <v>-1.5445420059112698E-7</v>
      </c>
      <c r="P46" s="523">
        <v>-2.4476422112671597E-8</v>
      </c>
      <c r="Q46" s="524">
        <v>6.686038552574264E-9</v>
      </c>
      <c r="R46" s="523">
        <v>-1.6592401316039113E-8</v>
      </c>
      <c r="S46" s="524">
        <v>5.7760626987557431E-8</v>
      </c>
      <c r="T46" s="524">
        <v>0</v>
      </c>
      <c r="U46" s="524">
        <v>3.4802951442235936E-9</v>
      </c>
      <c r="V46" s="523">
        <v>9.957310574527945E-9</v>
      </c>
      <c r="W46" s="524">
        <v>-3.0107420903865087E-8</v>
      </c>
      <c r="X46" s="524">
        <v>0</v>
      </c>
      <c r="Y46" s="524">
        <v>5.7760626987557431E-8</v>
      </c>
      <c r="Z46" s="523">
        <v>0</v>
      </c>
      <c r="AA46" s="524">
        <v>3.4802951442235936E-9</v>
      </c>
      <c r="AB46" s="523">
        <v>9.957310574527945E-9</v>
      </c>
      <c r="AC46" s="524">
        <v>-3.0107420903865087E-8</v>
      </c>
      <c r="AD46" s="524">
        <v>3.4802951442235936E-9</v>
      </c>
      <c r="AE46" s="523">
        <v>9.957310574527945E-9</v>
      </c>
      <c r="AF46" s="589">
        <v>-3.0107420903865087E-8</v>
      </c>
      <c r="AG46" s="526">
        <v>0</v>
      </c>
      <c r="AH46" s="529">
        <f>SUM(C46:AG46)</f>
        <v>607173.72010079876</v>
      </c>
    </row>
    <row r="47" spans="1:79" s="510" customFormat="1" ht="40.35" customHeight="1" thickBot="1" x14ac:dyDescent="0.3">
      <c r="A47" s="542">
        <v>38</v>
      </c>
      <c r="B47" s="543" t="s">
        <v>1415</v>
      </c>
      <c r="C47" s="531">
        <f>SUM(C45:C46)</f>
        <v>0</v>
      </c>
      <c r="D47" s="531">
        <f t="shared" ref="D47:AC47" si="5">SUM(D45:D46)</f>
        <v>22457878.046383113</v>
      </c>
      <c r="E47" s="531">
        <f t="shared" si="5"/>
        <v>25769632.087215897</v>
      </c>
      <c r="F47" s="531">
        <f t="shared" si="5"/>
        <v>29310162.968619421</v>
      </c>
      <c r="G47" s="531">
        <f t="shared" si="5"/>
        <v>26999718.558255296</v>
      </c>
      <c r="H47" s="531">
        <f t="shared" si="5"/>
        <v>27221800.133665636</v>
      </c>
      <c r="I47" s="531">
        <f t="shared" si="5"/>
        <v>27391835.412296224</v>
      </c>
      <c r="J47" s="531">
        <f t="shared" si="5"/>
        <v>25277015.433884829</v>
      </c>
      <c r="K47" s="531">
        <f t="shared" si="5"/>
        <v>27080018.334371973</v>
      </c>
      <c r="L47" s="531">
        <f t="shared" si="5"/>
        <v>25967539.155408431</v>
      </c>
      <c r="M47" s="531">
        <f t="shared" si="5"/>
        <v>26470927.37000009</v>
      </c>
      <c r="N47" s="531">
        <f t="shared" si="5"/>
        <v>24338145.020000003</v>
      </c>
      <c r="O47" s="531">
        <f t="shared" si="5"/>
        <v>25518596.329999849</v>
      </c>
      <c r="P47" s="531">
        <f t="shared" si="5"/>
        <v>24378381.179999974</v>
      </c>
      <c r="Q47" s="531">
        <f t="shared" si="5"/>
        <v>24408687.130000006</v>
      </c>
      <c r="R47" s="531">
        <f t="shared" si="5"/>
        <v>24847520.419999983</v>
      </c>
      <c r="S47" s="531">
        <f t="shared" si="5"/>
        <v>23345824.780000061</v>
      </c>
      <c r="T47" s="531">
        <f t="shared" si="5"/>
        <v>24402980.82</v>
      </c>
      <c r="U47" s="531">
        <f t="shared" si="5"/>
        <v>23659255.180000007</v>
      </c>
      <c r="V47" s="531">
        <f t="shared" si="5"/>
        <v>22003537.630000014</v>
      </c>
      <c r="W47" s="531">
        <f t="shared" si="5"/>
        <v>22594353.939999968</v>
      </c>
      <c r="X47" s="531">
        <f t="shared" si="5"/>
        <v>0</v>
      </c>
      <c r="Y47" s="531">
        <f t="shared" si="5"/>
        <v>5.7760626987557431E-8</v>
      </c>
      <c r="Z47" s="531">
        <f t="shared" si="5"/>
        <v>0</v>
      </c>
      <c r="AA47" s="531">
        <f t="shared" si="5"/>
        <v>3.4802951442235936E-9</v>
      </c>
      <c r="AB47" s="531">
        <f t="shared" si="5"/>
        <v>9.957310574527945E-9</v>
      </c>
      <c r="AC47" s="531">
        <f t="shared" si="5"/>
        <v>-3.0107420903865087E-8</v>
      </c>
      <c r="AD47" s="531">
        <f>SUM(AD45:AD46)</f>
        <v>3.4802951442235936E-9</v>
      </c>
      <c r="AE47" s="531">
        <f>SUM(AE45:AE46)</f>
        <v>9.957310574527945E-9</v>
      </c>
      <c r="AF47" s="531">
        <f>SUM(AF45:AF46)</f>
        <v>-3.0107420903865087E-8</v>
      </c>
      <c r="AG47" s="566">
        <f>SUM(AG45:AG46)</f>
        <v>926588608.45999897</v>
      </c>
      <c r="AH47" s="532">
        <f>SUM(AH45:AH46)</f>
        <v>1430032418.3900998</v>
      </c>
    </row>
    <row r="48" spans="1:79" x14ac:dyDescent="0.25">
      <c r="AG48" s="508"/>
      <c r="AH48" s="508"/>
      <c r="AI48" s="508"/>
      <c r="AJ48" s="508"/>
      <c r="AK48" s="508"/>
      <c r="AL48" s="508"/>
      <c r="AM48" s="508"/>
      <c r="AN48" s="508"/>
      <c r="AO48" s="508"/>
      <c r="AP48" s="508"/>
      <c r="AQ48" s="508"/>
      <c r="AR48" s="508"/>
      <c r="AS48" s="508"/>
      <c r="AT48" s="508"/>
      <c r="AU48" s="508"/>
      <c r="AV48" s="508"/>
      <c r="AW48" s="508"/>
      <c r="AX48" s="508"/>
      <c r="AY48" s="508"/>
      <c r="AZ48" s="508"/>
      <c r="BA48" s="508"/>
      <c r="BB48" s="508"/>
      <c r="BC48" s="508"/>
      <c r="BD48" s="508"/>
      <c r="BE48" s="508"/>
      <c r="BF48" s="508"/>
      <c r="BG48" s="508"/>
      <c r="BH48" s="508"/>
      <c r="BI48" s="508"/>
      <c r="BJ48" s="508"/>
      <c r="BK48" s="508"/>
      <c r="BL48" s="508"/>
      <c r="BM48" s="508"/>
      <c r="BN48" s="508"/>
      <c r="BO48" s="508"/>
      <c r="BP48" s="508"/>
      <c r="BQ48" s="508"/>
      <c r="BR48" s="508"/>
      <c r="BS48" s="508"/>
      <c r="BT48" s="508"/>
      <c r="BU48" s="508"/>
      <c r="BV48" s="508"/>
      <c r="BW48" s="508"/>
      <c r="BX48" s="508"/>
      <c r="BY48" s="508"/>
      <c r="BZ48" s="508"/>
      <c r="CA48" s="508"/>
    </row>
    <row r="49" spans="33:79" x14ac:dyDescent="0.25">
      <c r="AG49" s="508"/>
      <c r="AH49" s="508"/>
      <c r="AI49" s="508"/>
      <c r="AJ49" s="508"/>
      <c r="AK49" s="508"/>
      <c r="AL49" s="508"/>
      <c r="AM49" s="508"/>
      <c r="AN49" s="508"/>
      <c r="AO49" s="508"/>
      <c r="AP49" s="508"/>
      <c r="AQ49" s="508"/>
      <c r="AR49" s="508"/>
      <c r="AS49" s="508"/>
      <c r="AT49" s="508"/>
      <c r="AU49" s="508"/>
      <c r="AV49" s="508"/>
      <c r="AW49" s="508"/>
      <c r="AX49" s="508"/>
      <c r="AY49" s="508"/>
      <c r="AZ49" s="508"/>
      <c r="BA49" s="508"/>
      <c r="BB49" s="508"/>
      <c r="BC49" s="508"/>
      <c r="BD49" s="508"/>
      <c r="BE49" s="508"/>
      <c r="BF49" s="508"/>
      <c r="BG49" s="508"/>
      <c r="BH49" s="508"/>
      <c r="BI49" s="508"/>
      <c r="BJ49" s="508"/>
      <c r="BK49" s="508"/>
      <c r="BL49" s="508"/>
      <c r="BM49" s="508"/>
      <c r="BN49" s="508"/>
      <c r="BO49" s="508"/>
      <c r="BP49" s="508"/>
      <c r="BQ49" s="508"/>
      <c r="BR49" s="508"/>
      <c r="BS49" s="508"/>
      <c r="BT49" s="508"/>
      <c r="BU49" s="508"/>
      <c r="BV49" s="508"/>
      <c r="BW49" s="508"/>
      <c r="BX49" s="508"/>
      <c r="BY49" s="508"/>
      <c r="BZ49" s="508"/>
      <c r="CA49" s="508"/>
    </row>
    <row r="50" spans="33:79" x14ac:dyDescent="0.25">
      <c r="AG50" s="508"/>
      <c r="AH50" s="508"/>
      <c r="AI50" s="508"/>
      <c r="AJ50" s="508"/>
      <c r="AK50" s="508"/>
      <c r="AL50" s="508"/>
      <c r="AM50" s="508"/>
      <c r="AN50" s="508"/>
      <c r="AO50" s="508"/>
      <c r="AP50" s="508"/>
      <c r="AQ50" s="508"/>
      <c r="AR50" s="508"/>
      <c r="AS50" s="508"/>
      <c r="AT50" s="508"/>
      <c r="AU50" s="508"/>
      <c r="AV50" s="508"/>
      <c r="AW50" s="508"/>
      <c r="AX50" s="508"/>
      <c r="AY50" s="508"/>
      <c r="AZ50" s="508"/>
      <c r="BA50" s="508"/>
      <c r="BB50" s="508"/>
      <c r="BC50" s="508"/>
      <c r="BD50" s="508"/>
      <c r="BE50" s="508"/>
      <c r="BF50" s="508"/>
      <c r="BG50" s="508"/>
      <c r="BH50" s="508"/>
      <c r="BI50" s="508"/>
      <c r="BJ50" s="508"/>
      <c r="BK50" s="508"/>
      <c r="BL50" s="508"/>
      <c r="BM50" s="508"/>
      <c r="BN50" s="508"/>
      <c r="BO50" s="508"/>
      <c r="BP50" s="508"/>
      <c r="BQ50" s="508"/>
      <c r="BR50" s="508"/>
      <c r="BS50" s="508"/>
      <c r="BT50" s="508"/>
      <c r="BU50" s="508"/>
      <c r="BV50" s="508"/>
      <c r="BW50" s="508"/>
      <c r="BX50" s="508"/>
      <c r="BY50" s="508"/>
      <c r="BZ50" s="508"/>
      <c r="CA50" s="508"/>
    </row>
    <row r="51" spans="33:79" x14ac:dyDescent="0.25">
      <c r="AG51" s="508"/>
      <c r="AH51" s="508"/>
      <c r="AI51" s="508"/>
      <c r="AJ51" s="508"/>
      <c r="AK51" s="508"/>
      <c r="AL51" s="508"/>
      <c r="AM51" s="508"/>
      <c r="AN51" s="508"/>
      <c r="AO51" s="508"/>
      <c r="AP51" s="508"/>
      <c r="AQ51" s="508"/>
      <c r="AR51" s="508"/>
      <c r="AS51" s="508"/>
      <c r="AT51" s="508"/>
      <c r="AU51" s="508"/>
      <c r="AV51" s="508"/>
      <c r="AW51" s="508"/>
      <c r="AX51" s="508"/>
      <c r="AY51" s="508"/>
      <c r="AZ51" s="508"/>
      <c r="BA51" s="508"/>
      <c r="BB51" s="508"/>
      <c r="BC51" s="508"/>
      <c r="BD51" s="508"/>
      <c r="BE51" s="508"/>
      <c r="BF51" s="508"/>
      <c r="BG51" s="508"/>
      <c r="BH51" s="508"/>
      <c r="BI51" s="508"/>
      <c r="BJ51" s="508"/>
      <c r="BK51" s="508"/>
      <c r="BL51" s="508"/>
      <c r="BM51" s="508"/>
      <c r="BN51" s="508"/>
      <c r="BO51" s="508"/>
      <c r="BP51" s="508"/>
      <c r="BQ51" s="508"/>
      <c r="BR51" s="508"/>
      <c r="BS51" s="508"/>
      <c r="BT51" s="508"/>
      <c r="BU51" s="508"/>
      <c r="BV51" s="508"/>
      <c r="BW51" s="508"/>
      <c r="BX51" s="508"/>
      <c r="BY51" s="508"/>
      <c r="BZ51" s="508"/>
      <c r="CA51" s="508"/>
    </row>
    <row r="52" spans="33:79" x14ac:dyDescent="0.25">
      <c r="AG52" s="508"/>
      <c r="AH52" s="508"/>
      <c r="AI52" s="508"/>
      <c r="AJ52" s="508"/>
      <c r="AK52" s="508"/>
      <c r="AL52" s="508"/>
      <c r="AM52" s="508"/>
      <c r="AN52" s="508"/>
      <c r="AO52" s="508"/>
      <c r="AP52" s="508"/>
      <c r="AQ52" s="508"/>
      <c r="AR52" s="508"/>
      <c r="AS52" s="508"/>
      <c r="AT52" s="508"/>
      <c r="AU52" s="508"/>
      <c r="AV52" s="508"/>
      <c r="AW52" s="508"/>
      <c r="AX52" s="508"/>
      <c r="AY52" s="508"/>
      <c r="AZ52" s="508"/>
      <c r="BA52" s="508"/>
      <c r="BB52" s="508"/>
      <c r="BC52" s="508"/>
      <c r="BD52" s="508"/>
      <c r="BE52" s="508"/>
      <c r="BF52" s="508"/>
      <c r="BG52" s="508"/>
      <c r="BH52" s="508"/>
      <c r="BI52" s="508"/>
      <c r="BJ52" s="508"/>
      <c r="BK52" s="508"/>
      <c r="BL52" s="508"/>
      <c r="BM52" s="508"/>
      <c r="BN52" s="508"/>
      <c r="BO52" s="508"/>
      <c r="BP52" s="508"/>
      <c r="BQ52" s="508"/>
      <c r="BR52" s="508"/>
      <c r="BS52" s="508"/>
      <c r="BT52" s="508"/>
      <c r="BU52" s="508"/>
      <c r="BV52" s="508"/>
      <c r="BW52" s="508"/>
      <c r="BX52" s="508"/>
      <c r="BY52" s="508"/>
      <c r="BZ52" s="508"/>
      <c r="CA52" s="508"/>
    </row>
    <row r="53" spans="33:79" x14ac:dyDescent="0.25">
      <c r="AG53" s="508"/>
      <c r="AH53" s="508"/>
      <c r="AI53" s="508"/>
      <c r="AJ53" s="508"/>
      <c r="AK53" s="508"/>
      <c r="AL53" s="508"/>
      <c r="AM53" s="508"/>
      <c r="AN53" s="508"/>
      <c r="AO53" s="508"/>
      <c r="AP53" s="508"/>
      <c r="AQ53" s="508"/>
      <c r="AR53" s="508"/>
      <c r="AS53" s="508"/>
      <c r="AT53" s="508"/>
      <c r="AU53" s="508"/>
      <c r="AV53" s="508"/>
      <c r="AW53" s="508"/>
      <c r="AX53" s="508"/>
      <c r="AY53" s="508"/>
      <c r="AZ53" s="508"/>
      <c r="BA53" s="508"/>
      <c r="BB53" s="508"/>
      <c r="BC53" s="508"/>
      <c r="BD53" s="508"/>
      <c r="BE53" s="508"/>
      <c r="BF53" s="508"/>
      <c r="BG53" s="508"/>
      <c r="BH53" s="508"/>
      <c r="BI53" s="508"/>
      <c r="BJ53" s="508"/>
      <c r="BK53" s="508"/>
      <c r="BL53" s="508"/>
      <c r="BM53" s="508"/>
      <c r="BN53" s="508"/>
      <c r="BO53" s="508"/>
      <c r="BP53" s="508"/>
      <c r="BQ53" s="508"/>
      <c r="BR53" s="508"/>
      <c r="BS53" s="508"/>
      <c r="BT53" s="508"/>
      <c r="BU53" s="508"/>
      <c r="BV53" s="508"/>
      <c r="BW53" s="508"/>
      <c r="BX53" s="508"/>
      <c r="BY53" s="508"/>
      <c r="BZ53" s="508"/>
      <c r="CA53" s="508"/>
    </row>
    <row r="54" spans="33:79" x14ac:dyDescent="0.25">
      <c r="AG54" s="508"/>
      <c r="AH54" s="508"/>
      <c r="AI54" s="508"/>
      <c r="AJ54" s="508"/>
      <c r="AK54" s="508"/>
      <c r="AL54" s="508"/>
      <c r="AM54" s="508"/>
      <c r="AN54" s="508"/>
      <c r="AO54" s="508"/>
      <c r="AP54" s="508"/>
      <c r="AQ54" s="508"/>
      <c r="AR54" s="508"/>
      <c r="AS54" s="508"/>
      <c r="AT54" s="508"/>
      <c r="AU54" s="508"/>
      <c r="AV54" s="508"/>
      <c r="AW54" s="508"/>
      <c r="AX54" s="508"/>
      <c r="AY54" s="508"/>
      <c r="AZ54" s="508"/>
      <c r="BA54" s="508"/>
      <c r="BB54" s="508"/>
      <c r="BC54" s="508"/>
      <c r="BD54" s="508"/>
      <c r="BE54" s="508"/>
      <c r="BF54" s="508"/>
      <c r="BG54" s="508"/>
      <c r="BH54" s="508"/>
      <c r="BI54" s="508"/>
      <c r="BJ54" s="508"/>
      <c r="BK54" s="508"/>
      <c r="BL54" s="508"/>
      <c r="BM54" s="508"/>
      <c r="BN54" s="508"/>
      <c r="BO54" s="508"/>
      <c r="BP54" s="508"/>
      <c r="BQ54" s="508"/>
      <c r="BR54" s="508"/>
      <c r="BS54" s="508"/>
      <c r="BT54" s="508"/>
      <c r="BU54" s="508"/>
      <c r="BV54" s="508"/>
      <c r="BW54" s="508"/>
      <c r="BX54" s="508"/>
      <c r="BY54" s="508"/>
      <c r="BZ54" s="508"/>
      <c r="CA54" s="508"/>
    </row>
    <row r="55" spans="33:79" x14ac:dyDescent="0.25">
      <c r="AG55" s="508"/>
      <c r="AH55" s="508"/>
      <c r="AI55" s="508"/>
      <c r="AJ55" s="508"/>
      <c r="AK55" s="508"/>
      <c r="AL55" s="508"/>
      <c r="AM55" s="508"/>
      <c r="AN55" s="508"/>
      <c r="AO55" s="508"/>
      <c r="AP55" s="508"/>
      <c r="AQ55" s="508"/>
      <c r="AR55" s="508"/>
      <c r="AS55" s="508"/>
      <c r="AT55" s="508"/>
      <c r="AU55" s="508"/>
      <c r="AV55" s="508"/>
      <c r="AW55" s="508"/>
      <c r="AX55" s="508"/>
      <c r="AY55" s="508"/>
      <c r="AZ55" s="508"/>
      <c r="BA55" s="508"/>
      <c r="BB55" s="508"/>
      <c r="BC55" s="508"/>
      <c r="BD55" s="508"/>
      <c r="BE55" s="508"/>
      <c r="BF55" s="508"/>
      <c r="BG55" s="508"/>
      <c r="BH55" s="508"/>
      <c r="BI55" s="508"/>
      <c r="BJ55" s="508"/>
      <c r="BK55" s="508"/>
      <c r="BL55" s="508"/>
      <c r="BM55" s="508"/>
      <c r="BN55" s="508"/>
      <c r="BO55" s="508"/>
      <c r="BP55" s="508"/>
      <c r="BQ55" s="508"/>
      <c r="BR55" s="508"/>
      <c r="BS55" s="508"/>
      <c r="BT55" s="508"/>
      <c r="BU55" s="508"/>
      <c r="BV55" s="508"/>
      <c r="BW55" s="508"/>
      <c r="BX55" s="508"/>
      <c r="BY55" s="508"/>
      <c r="BZ55" s="508"/>
      <c r="CA55" s="508"/>
    </row>
    <row r="56" spans="33:79" x14ac:dyDescent="0.25">
      <c r="AG56" s="508"/>
      <c r="AH56" s="508"/>
      <c r="AI56" s="508"/>
      <c r="AJ56" s="508"/>
      <c r="AK56" s="508"/>
      <c r="AL56" s="508"/>
      <c r="AM56" s="508"/>
      <c r="AN56" s="508"/>
      <c r="AO56" s="508"/>
      <c r="AP56" s="508"/>
      <c r="AQ56" s="508"/>
      <c r="AR56" s="508"/>
      <c r="AS56" s="508"/>
      <c r="AT56" s="508"/>
      <c r="AU56" s="508"/>
      <c r="AV56" s="508"/>
      <c r="AW56" s="508"/>
      <c r="AX56" s="508"/>
      <c r="AY56" s="508"/>
      <c r="AZ56" s="508"/>
      <c r="BA56" s="508"/>
      <c r="BB56" s="508"/>
      <c r="BC56" s="508"/>
      <c r="BD56" s="508"/>
      <c r="BE56" s="508"/>
      <c r="BF56" s="508"/>
      <c r="BG56" s="508"/>
      <c r="BH56" s="508"/>
      <c r="BI56" s="508"/>
      <c r="BJ56" s="508"/>
      <c r="BK56" s="508"/>
      <c r="BL56" s="508"/>
      <c r="BM56" s="508"/>
      <c r="BN56" s="508"/>
      <c r="BO56" s="508"/>
      <c r="BP56" s="508"/>
      <c r="BQ56" s="508"/>
      <c r="BR56" s="508"/>
      <c r="BS56" s="508"/>
      <c r="BT56" s="508"/>
      <c r="BU56" s="508"/>
      <c r="BV56" s="508"/>
      <c r="BW56" s="508"/>
      <c r="BX56" s="508"/>
      <c r="BY56" s="508"/>
      <c r="BZ56" s="508"/>
      <c r="CA56" s="508"/>
    </row>
    <row r="57" spans="33:79" x14ac:dyDescent="0.25">
      <c r="AG57" s="508"/>
      <c r="AH57" s="508"/>
      <c r="AI57" s="508"/>
      <c r="AJ57" s="508"/>
      <c r="AK57" s="508"/>
      <c r="AL57" s="508"/>
      <c r="AM57" s="508"/>
      <c r="AN57" s="508"/>
      <c r="AO57" s="508"/>
      <c r="AP57" s="508"/>
      <c r="AQ57" s="508"/>
      <c r="AR57" s="508"/>
      <c r="AS57" s="508"/>
      <c r="AT57" s="508"/>
      <c r="AU57" s="508"/>
      <c r="AV57" s="508"/>
      <c r="AW57" s="508"/>
      <c r="AX57" s="508"/>
      <c r="AY57" s="508"/>
      <c r="AZ57" s="508"/>
      <c r="BA57" s="508"/>
      <c r="BB57" s="508"/>
      <c r="BC57" s="508"/>
      <c r="BD57" s="508"/>
      <c r="BE57" s="508"/>
      <c r="BF57" s="508"/>
      <c r="BG57" s="508"/>
      <c r="BH57" s="508"/>
      <c r="BI57" s="508"/>
      <c r="BJ57" s="508"/>
      <c r="BK57" s="508"/>
      <c r="BL57" s="508"/>
      <c r="BM57" s="508"/>
      <c r="BN57" s="508"/>
      <c r="BO57" s="508"/>
      <c r="BP57" s="508"/>
      <c r="BQ57" s="508"/>
      <c r="BR57" s="508"/>
      <c r="BS57" s="508"/>
      <c r="BT57" s="508"/>
      <c r="BU57" s="508"/>
      <c r="BV57" s="508"/>
      <c r="BW57" s="508"/>
      <c r="BX57" s="508"/>
      <c r="BY57" s="508"/>
      <c r="BZ57" s="508"/>
      <c r="CA57" s="508"/>
    </row>
    <row r="58" spans="33:79" x14ac:dyDescent="0.25">
      <c r="AG58" s="508"/>
      <c r="AH58" s="508"/>
      <c r="AI58" s="508"/>
      <c r="AJ58" s="508"/>
      <c r="AK58" s="508"/>
      <c r="AL58" s="508"/>
      <c r="AM58" s="508"/>
      <c r="AN58" s="508"/>
      <c r="AO58" s="508"/>
      <c r="AP58" s="508"/>
      <c r="AQ58" s="508"/>
      <c r="AR58" s="508"/>
      <c r="AS58" s="508"/>
      <c r="AT58" s="508"/>
      <c r="AU58" s="508"/>
      <c r="AV58" s="508"/>
      <c r="AW58" s="508"/>
      <c r="AX58" s="508"/>
      <c r="AY58" s="508"/>
      <c r="AZ58" s="508"/>
      <c r="BA58" s="508"/>
      <c r="BB58" s="508"/>
      <c r="BC58" s="508"/>
      <c r="BD58" s="508"/>
      <c r="BE58" s="508"/>
      <c r="BF58" s="508"/>
      <c r="BG58" s="508"/>
      <c r="BH58" s="508"/>
      <c r="BI58" s="508"/>
      <c r="BJ58" s="508"/>
      <c r="BK58" s="508"/>
      <c r="BL58" s="508"/>
      <c r="BM58" s="508"/>
      <c r="BN58" s="508"/>
      <c r="BO58" s="508"/>
      <c r="BP58" s="508"/>
      <c r="BQ58" s="508"/>
      <c r="BR58" s="508"/>
      <c r="BS58" s="508"/>
      <c r="BT58" s="508"/>
      <c r="BU58" s="508"/>
      <c r="BV58" s="508"/>
      <c r="BW58" s="508"/>
      <c r="BX58" s="508"/>
      <c r="BY58" s="508"/>
      <c r="BZ58" s="508"/>
      <c r="CA58" s="508"/>
    </row>
    <row r="59" spans="33:79" x14ac:dyDescent="0.25">
      <c r="AG59" s="508"/>
      <c r="AH59" s="508"/>
      <c r="AI59" s="508"/>
      <c r="AJ59" s="508"/>
      <c r="AK59" s="508"/>
      <c r="AL59" s="508"/>
      <c r="AM59" s="508"/>
      <c r="AN59" s="508"/>
      <c r="AO59" s="508"/>
      <c r="AP59" s="508"/>
      <c r="AQ59" s="508"/>
      <c r="AR59" s="508"/>
      <c r="AS59" s="508"/>
      <c r="AT59" s="508"/>
      <c r="AU59" s="508"/>
      <c r="AV59" s="508"/>
      <c r="AW59" s="508"/>
      <c r="AX59" s="508"/>
      <c r="AY59" s="508"/>
      <c r="AZ59" s="508"/>
      <c r="BA59" s="508"/>
      <c r="BB59" s="508"/>
      <c r="BC59" s="508"/>
      <c r="BD59" s="508"/>
      <c r="BE59" s="508"/>
      <c r="BF59" s="508"/>
      <c r="BG59" s="508"/>
      <c r="BH59" s="508"/>
      <c r="BI59" s="508"/>
      <c r="BJ59" s="508"/>
      <c r="BK59" s="508"/>
      <c r="BL59" s="508"/>
      <c r="BM59" s="508"/>
      <c r="BN59" s="508"/>
      <c r="BO59" s="508"/>
      <c r="BP59" s="508"/>
      <c r="BQ59" s="508"/>
      <c r="BR59" s="508"/>
      <c r="BS59" s="508"/>
      <c r="BT59" s="508"/>
      <c r="BU59" s="508"/>
      <c r="BV59" s="508"/>
      <c r="BW59" s="508"/>
      <c r="BX59" s="508"/>
      <c r="BY59" s="508"/>
      <c r="BZ59" s="508"/>
      <c r="CA59" s="508"/>
    </row>
    <row r="60" spans="33:79" x14ac:dyDescent="0.25">
      <c r="AG60" s="508"/>
      <c r="AH60" s="508"/>
      <c r="AI60" s="508"/>
      <c r="AJ60" s="508"/>
      <c r="AK60" s="508"/>
      <c r="AL60" s="508"/>
      <c r="AM60" s="508"/>
      <c r="AN60" s="508"/>
      <c r="AO60" s="508"/>
      <c r="AP60" s="508"/>
      <c r="AQ60" s="508"/>
      <c r="AR60" s="508"/>
      <c r="AS60" s="508"/>
      <c r="AT60" s="508"/>
      <c r="AU60" s="508"/>
      <c r="AV60" s="508"/>
      <c r="AW60" s="508"/>
      <c r="AX60" s="508"/>
      <c r="AY60" s="508"/>
      <c r="AZ60" s="508"/>
      <c r="BA60" s="508"/>
      <c r="BB60" s="508"/>
      <c r="BC60" s="508"/>
      <c r="BD60" s="508"/>
      <c r="BE60" s="508"/>
      <c r="BF60" s="508"/>
      <c r="BG60" s="508"/>
      <c r="BH60" s="508"/>
      <c r="BI60" s="508"/>
      <c r="BJ60" s="508"/>
      <c r="BK60" s="508"/>
      <c r="BL60" s="508"/>
      <c r="BM60" s="508"/>
      <c r="BN60" s="508"/>
      <c r="BO60" s="508"/>
      <c r="BP60" s="508"/>
      <c r="BQ60" s="508"/>
      <c r="BR60" s="508"/>
      <c r="BS60" s="508"/>
      <c r="BT60" s="508"/>
      <c r="BU60" s="508"/>
      <c r="BV60" s="508"/>
      <c r="BW60" s="508"/>
      <c r="BX60" s="508"/>
      <c r="BY60" s="508"/>
      <c r="BZ60" s="508"/>
      <c r="CA60" s="508"/>
    </row>
    <row r="61" spans="33:79" x14ac:dyDescent="0.25">
      <c r="AG61" s="508"/>
      <c r="AH61" s="508"/>
      <c r="AI61" s="508"/>
      <c r="AJ61" s="508"/>
      <c r="AK61" s="508"/>
      <c r="AL61" s="508"/>
      <c r="AM61" s="508"/>
      <c r="AN61" s="508"/>
      <c r="AO61" s="508"/>
      <c r="AP61" s="508"/>
      <c r="AQ61" s="508"/>
      <c r="AR61" s="508"/>
      <c r="AS61" s="508"/>
      <c r="AT61" s="508"/>
      <c r="AU61" s="508"/>
      <c r="AV61" s="508"/>
      <c r="AW61" s="508"/>
      <c r="AX61" s="508"/>
      <c r="AY61" s="508"/>
      <c r="AZ61" s="508"/>
      <c r="BA61" s="508"/>
      <c r="BB61" s="508"/>
      <c r="BC61" s="508"/>
      <c r="BD61" s="508"/>
      <c r="BE61" s="508"/>
      <c r="BF61" s="508"/>
      <c r="BG61" s="508"/>
      <c r="BH61" s="508"/>
      <c r="BI61" s="508"/>
      <c r="BJ61" s="508"/>
      <c r="BK61" s="508"/>
      <c r="BL61" s="508"/>
      <c r="BM61" s="508"/>
      <c r="BN61" s="508"/>
      <c r="BO61" s="508"/>
      <c r="BP61" s="508"/>
      <c r="BQ61" s="508"/>
      <c r="BR61" s="508"/>
      <c r="BS61" s="508"/>
      <c r="BT61" s="508"/>
      <c r="BU61" s="508"/>
      <c r="BV61" s="508"/>
      <c r="BW61" s="508"/>
      <c r="BX61" s="508"/>
      <c r="BY61" s="508"/>
      <c r="BZ61" s="508"/>
      <c r="CA61" s="508"/>
    </row>
  </sheetData>
  <sheetProtection algorithmName="SHA-512" hashValue="ZU+arEHAzT+BA1H3+zaoTmroO15F5ZveqNyifxYKdR3Ti6fZVf0D7qp6u5R63Ajt0FPlYxt+Aow4Y6MYeORDCg==" saltValue="iGBl5z7cvJKfos79SiA6aA=="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4">
    <pageSetUpPr fitToPage="1"/>
  </sheetPr>
  <dimension ref="A1:E19"/>
  <sheetViews>
    <sheetView tabSelected="1" zoomScale="90" zoomScaleNormal="90" workbookViewId="0">
      <selection activeCell="E15" sqref="E15"/>
    </sheetView>
  </sheetViews>
  <sheetFormatPr defaultRowHeight="13.2" x14ac:dyDescent="0.25"/>
  <cols>
    <col min="1" max="1" width="20.44140625" customWidth="1"/>
    <col min="3" max="3" width="29.44140625" customWidth="1"/>
    <col min="5" max="5" width="16.88671875" customWidth="1"/>
  </cols>
  <sheetData>
    <row r="1" spans="1:5" ht="17.399999999999999" x14ac:dyDescent="0.3">
      <c r="A1" s="108" t="s">
        <v>160</v>
      </c>
      <c r="B1" s="109"/>
      <c r="C1" s="109"/>
      <c r="E1" s="45"/>
    </row>
    <row r="2" spans="1:5" ht="17.399999999999999" x14ac:dyDescent="0.3">
      <c r="A2" s="37"/>
    </row>
    <row r="3" spans="1:5" ht="15.6" x14ac:dyDescent="0.3">
      <c r="A3" s="20" t="s">
        <v>147</v>
      </c>
    </row>
    <row r="5" spans="1:5" x14ac:dyDescent="0.25">
      <c r="C5" s="38"/>
    </row>
    <row r="6" spans="1:5" ht="24.6" x14ac:dyDescent="0.4">
      <c r="A6" s="44"/>
    </row>
    <row r="7" spans="1:5" ht="15.6" thickBot="1" x14ac:dyDescent="0.3">
      <c r="A7" s="39" t="s">
        <v>132</v>
      </c>
      <c r="B7" s="39"/>
      <c r="C7" s="40" t="str">
        <f>'Schedule 2_Balance Sheet'!C2</f>
        <v>Tufts Associated Health Plans, Inc. (TAHMO)</v>
      </c>
      <c r="D7" s="40"/>
      <c r="E7" s="41"/>
    </row>
    <row r="8" spans="1:5" ht="15.6" thickBot="1" x14ac:dyDescent="0.3">
      <c r="A8" s="39" t="s">
        <v>216</v>
      </c>
      <c r="B8" s="39"/>
      <c r="C8" s="576" t="str">
        <f>'Schedule 2_Balance Sheet'!C3</f>
        <v>01/01/2024 - 12/31/2024</v>
      </c>
      <c r="D8" s="40"/>
      <c r="E8" s="41"/>
    </row>
    <row r="9" spans="1:5" ht="15" x14ac:dyDescent="0.25">
      <c r="A9" s="42"/>
    </row>
    <row r="11" spans="1:5" ht="44.25" customHeight="1" x14ac:dyDescent="0.25">
      <c r="A11" s="938" t="s">
        <v>1571</v>
      </c>
      <c r="B11" s="939"/>
      <c r="C11" s="939"/>
      <c r="D11" s="939"/>
      <c r="E11" s="939"/>
    </row>
    <row r="12" spans="1:5" ht="96.75" customHeight="1" x14ac:dyDescent="0.25">
      <c r="A12" s="938" t="s">
        <v>1339</v>
      </c>
      <c r="B12" s="939"/>
      <c r="C12" s="939"/>
      <c r="D12" s="939"/>
      <c r="E12" s="939"/>
    </row>
    <row r="14" spans="1:5" ht="13.8" thickBot="1" x14ac:dyDescent="0.3">
      <c r="A14" s="43" t="s">
        <v>148</v>
      </c>
      <c r="B14" s="110" t="s">
        <v>1567</v>
      </c>
      <c r="C14" s="110"/>
      <c r="D14" s="43"/>
      <c r="E14" s="983">
        <v>45961</v>
      </c>
    </row>
    <row r="15" spans="1:5" x14ac:dyDescent="0.25">
      <c r="A15" s="43"/>
      <c r="B15" s="43" t="s">
        <v>133</v>
      </c>
      <c r="C15" s="43"/>
      <c r="D15" s="43"/>
      <c r="E15" s="43" t="s">
        <v>134</v>
      </c>
    </row>
    <row r="16" spans="1:5" x14ac:dyDescent="0.25">
      <c r="A16" s="43"/>
      <c r="B16" s="43"/>
      <c r="C16" s="43"/>
      <c r="D16" s="43"/>
      <c r="E16" s="43"/>
    </row>
    <row r="17" spans="2:5" x14ac:dyDescent="0.25">
      <c r="B17" s="43"/>
      <c r="C17" s="43"/>
      <c r="D17" s="43"/>
      <c r="E17" s="43"/>
    </row>
    <row r="18" spans="2:5" ht="13.8" thickBot="1" x14ac:dyDescent="0.3">
      <c r="B18" s="820" t="s">
        <v>1572</v>
      </c>
      <c r="C18" s="110"/>
      <c r="D18" s="43"/>
      <c r="E18" s="819" t="s">
        <v>1568</v>
      </c>
    </row>
    <row r="19" spans="2:5" x14ac:dyDescent="0.25">
      <c r="B19" s="43" t="s">
        <v>135</v>
      </c>
      <c r="C19" s="43"/>
      <c r="D19" s="43"/>
      <c r="E19" s="43" t="s">
        <v>136</v>
      </c>
    </row>
  </sheetData>
  <protectedRanges>
    <protectedRange password="CC6C" sqref="C7:E8" name="Schedule 10_Plan Name"/>
  </protectedRanges>
  <mergeCells count="2">
    <mergeCell ref="A12:E12"/>
    <mergeCell ref="A11:E11"/>
  </mergeCells>
  <phoneticPr fontId="38" type="noConversion"/>
  <conditionalFormatting sqref="C7:D8">
    <cfRule type="cellIs" dxfId="0" priority="1" stopIfTrue="1" operator="equal">
      <formula>0</formula>
    </cfRule>
  </conditionalFormatting>
  <pageMargins left="0.75" right="0.75" top="1" bottom="1" header="0.5" footer="0.5"/>
  <pageSetup orientation="landscape" r:id="rId1"/>
  <headerFooter alignWithMargins="0">
    <oddFooter>&amp;CPage &amp;P of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N130"/>
  <sheetViews>
    <sheetView zoomScale="80" zoomScaleNormal="80" workbookViewId="0">
      <selection activeCell="G31" sqref="G31"/>
    </sheetView>
  </sheetViews>
  <sheetFormatPr defaultColWidth="9.44140625" defaultRowHeight="13.2" x14ac:dyDescent="0.25"/>
  <cols>
    <col min="1" max="1" width="66.44140625" style="149" customWidth="1"/>
    <col min="2" max="5" width="32.5546875" style="149" customWidth="1"/>
    <col min="6" max="16384" width="9.44140625" style="149"/>
  </cols>
  <sheetData>
    <row r="1" spans="1:14" ht="15.6" x14ac:dyDescent="0.25">
      <c r="A1" s="275" t="s">
        <v>143</v>
      </c>
    </row>
    <row r="5" spans="1:14" x14ac:dyDescent="0.25">
      <c r="A5" s="269" t="s">
        <v>144</v>
      </c>
      <c r="B5" s="270"/>
      <c r="C5" s="271" t="s">
        <v>145</v>
      </c>
      <c r="D5" s="272" t="str">
        <f>'Schedule 2_Balance Sheet'!C2</f>
        <v>Tufts Associated Health Plans, Inc. (TAHMO)</v>
      </c>
      <c r="E5" s="272"/>
    </row>
    <row r="6" spans="1:14" x14ac:dyDescent="0.25">
      <c r="A6" s="47"/>
      <c r="B6" s="48"/>
      <c r="C6" s="266"/>
      <c r="D6" s="940"/>
      <c r="E6" s="941"/>
    </row>
    <row r="7" spans="1:14" ht="13.8" thickBot="1" x14ac:dyDescent="0.3"/>
    <row r="8" spans="1:14" ht="31.5" customHeight="1" thickTop="1" x14ac:dyDescent="0.25">
      <c r="A8" s="942" t="s">
        <v>187</v>
      </c>
      <c r="B8" s="943"/>
      <c r="C8" s="943"/>
      <c r="D8" s="943"/>
      <c r="E8" s="944"/>
      <c r="F8" s="273"/>
      <c r="G8" s="273"/>
      <c r="H8" s="273"/>
      <c r="I8" s="273"/>
      <c r="J8" s="273"/>
      <c r="K8" s="273"/>
      <c r="L8" s="273"/>
      <c r="M8" s="273"/>
      <c r="N8" s="273"/>
    </row>
    <row r="9" spans="1:14" x14ac:dyDescent="0.25">
      <c r="A9" s="274"/>
      <c r="B9" s="267"/>
      <c r="C9" s="267"/>
      <c r="D9" s="267"/>
      <c r="E9" s="268"/>
    </row>
    <row r="10" spans="1:14" x14ac:dyDescent="0.25">
      <c r="A10" s="954" t="s">
        <v>538</v>
      </c>
      <c r="B10" s="945"/>
      <c r="C10" s="946"/>
      <c r="D10" s="946"/>
      <c r="E10" s="947"/>
    </row>
    <row r="11" spans="1:14" x14ac:dyDescent="0.25">
      <c r="A11" s="955"/>
      <c r="B11" s="948"/>
      <c r="C11" s="949"/>
      <c r="D11" s="949"/>
      <c r="E11" s="950"/>
    </row>
    <row r="12" spans="1:14" x14ac:dyDescent="0.25">
      <c r="A12" s="955"/>
      <c r="B12" s="948"/>
      <c r="C12" s="949"/>
      <c r="D12" s="949"/>
      <c r="E12" s="950"/>
    </row>
    <row r="13" spans="1:14" x14ac:dyDescent="0.25">
      <c r="A13" s="955"/>
      <c r="B13" s="948"/>
      <c r="C13" s="949"/>
      <c r="D13" s="949"/>
      <c r="E13" s="950"/>
    </row>
    <row r="14" spans="1:14" x14ac:dyDescent="0.25">
      <c r="A14" s="955"/>
      <c r="B14" s="948"/>
      <c r="C14" s="949"/>
      <c r="D14" s="949"/>
      <c r="E14" s="950"/>
    </row>
    <row r="15" spans="1:14" x14ac:dyDescent="0.25">
      <c r="A15" s="955"/>
      <c r="B15" s="948"/>
      <c r="C15" s="949"/>
      <c r="D15" s="949"/>
      <c r="E15" s="950"/>
    </row>
    <row r="16" spans="1:14" x14ac:dyDescent="0.25">
      <c r="A16" s="955"/>
      <c r="B16" s="948"/>
      <c r="C16" s="949"/>
      <c r="D16" s="949"/>
      <c r="E16" s="950"/>
    </row>
    <row r="17" spans="1:5" x14ac:dyDescent="0.25">
      <c r="A17" s="955"/>
      <c r="B17" s="948"/>
      <c r="C17" s="949"/>
      <c r="D17" s="949"/>
      <c r="E17" s="950"/>
    </row>
    <row r="18" spans="1:5" x14ac:dyDescent="0.25">
      <c r="A18" s="955"/>
      <c r="B18" s="948"/>
      <c r="C18" s="949"/>
      <c r="D18" s="949"/>
      <c r="E18" s="950"/>
    </row>
    <row r="19" spans="1:5" x14ac:dyDescent="0.25">
      <c r="A19" s="955"/>
      <c r="B19" s="948"/>
      <c r="C19" s="949"/>
      <c r="D19" s="949"/>
      <c r="E19" s="950"/>
    </row>
    <row r="20" spans="1:5" x14ac:dyDescent="0.25">
      <c r="A20" s="956"/>
      <c r="B20" s="951"/>
      <c r="C20" s="952"/>
      <c r="D20" s="952"/>
      <c r="E20" s="953"/>
    </row>
    <row r="21" spans="1:5" x14ac:dyDescent="0.25">
      <c r="A21" s="954" t="s">
        <v>537</v>
      </c>
      <c r="B21" s="957" t="s">
        <v>1569</v>
      </c>
      <c r="C21" s="958"/>
      <c r="D21" s="958"/>
      <c r="E21" s="959"/>
    </row>
    <row r="22" spans="1:5" x14ac:dyDescent="0.25">
      <c r="A22" s="955"/>
      <c r="B22" s="960"/>
      <c r="C22" s="961"/>
      <c r="D22" s="961"/>
      <c r="E22" s="962"/>
    </row>
    <row r="23" spans="1:5" x14ac:dyDescent="0.25">
      <c r="A23" s="955"/>
      <c r="B23" s="960"/>
      <c r="C23" s="961"/>
      <c r="D23" s="961"/>
      <c r="E23" s="962"/>
    </row>
    <row r="24" spans="1:5" x14ac:dyDescent="0.25">
      <c r="A24" s="955"/>
      <c r="B24" s="960"/>
      <c r="C24" s="961"/>
      <c r="D24" s="961"/>
      <c r="E24" s="962"/>
    </row>
    <row r="25" spans="1:5" x14ac:dyDescent="0.25">
      <c r="A25" s="955"/>
      <c r="B25" s="960"/>
      <c r="C25" s="961"/>
      <c r="D25" s="961"/>
      <c r="E25" s="962"/>
    </row>
    <row r="26" spans="1:5" x14ac:dyDescent="0.25">
      <c r="A26" s="955"/>
      <c r="B26" s="960"/>
      <c r="C26" s="961"/>
      <c r="D26" s="961"/>
      <c r="E26" s="962"/>
    </row>
    <row r="27" spans="1:5" x14ac:dyDescent="0.25">
      <c r="A27" s="955"/>
      <c r="B27" s="960"/>
      <c r="C27" s="961"/>
      <c r="D27" s="961"/>
      <c r="E27" s="962"/>
    </row>
    <row r="28" spans="1:5" x14ac:dyDescent="0.25">
      <c r="A28" s="955"/>
      <c r="B28" s="960"/>
      <c r="C28" s="961"/>
      <c r="D28" s="961"/>
      <c r="E28" s="962"/>
    </row>
    <row r="29" spans="1:5" x14ac:dyDescent="0.25">
      <c r="A29" s="955"/>
      <c r="B29" s="960"/>
      <c r="C29" s="961"/>
      <c r="D29" s="961"/>
      <c r="E29" s="962"/>
    </row>
    <row r="30" spans="1:5" x14ac:dyDescent="0.25">
      <c r="A30" s="955"/>
      <c r="B30" s="960"/>
      <c r="C30" s="961"/>
      <c r="D30" s="961"/>
      <c r="E30" s="962"/>
    </row>
    <row r="31" spans="1:5" x14ac:dyDescent="0.25">
      <c r="A31" s="956"/>
      <c r="B31" s="963"/>
      <c r="C31" s="964"/>
      <c r="D31" s="964"/>
      <c r="E31" s="965"/>
    </row>
    <row r="32" spans="1:5" x14ac:dyDescent="0.25">
      <c r="A32" s="954" t="s">
        <v>536</v>
      </c>
      <c r="B32" s="966" t="s">
        <v>1551</v>
      </c>
      <c r="C32" s="967"/>
      <c r="D32" s="967"/>
      <c r="E32" s="968"/>
    </row>
    <row r="33" spans="1:5" x14ac:dyDescent="0.25">
      <c r="A33" s="955"/>
      <c r="B33" s="969"/>
      <c r="C33" s="970"/>
      <c r="D33" s="970"/>
      <c r="E33" s="971"/>
    </row>
    <row r="34" spans="1:5" x14ac:dyDescent="0.25">
      <c r="A34" s="955"/>
      <c r="B34" s="969"/>
      <c r="C34" s="970"/>
      <c r="D34" s="970"/>
      <c r="E34" s="971"/>
    </row>
    <row r="35" spans="1:5" x14ac:dyDescent="0.25">
      <c r="A35" s="955"/>
      <c r="B35" s="969"/>
      <c r="C35" s="970"/>
      <c r="D35" s="970"/>
      <c r="E35" s="971"/>
    </row>
    <row r="36" spans="1:5" x14ac:dyDescent="0.25">
      <c r="A36" s="955"/>
      <c r="B36" s="969"/>
      <c r="C36" s="970"/>
      <c r="D36" s="970"/>
      <c r="E36" s="971"/>
    </row>
    <row r="37" spans="1:5" x14ac:dyDescent="0.25">
      <c r="A37" s="955"/>
      <c r="B37" s="969"/>
      <c r="C37" s="970"/>
      <c r="D37" s="970"/>
      <c r="E37" s="971"/>
    </row>
    <row r="38" spans="1:5" x14ac:dyDescent="0.25">
      <c r="A38" s="955"/>
      <c r="B38" s="969"/>
      <c r="C38" s="970"/>
      <c r="D38" s="970"/>
      <c r="E38" s="971"/>
    </row>
    <row r="39" spans="1:5" x14ac:dyDescent="0.25">
      <c r="A39" s="955"/>
      <c r="B39" s="969"/>
      <c r="C39" s="970"/>
      <c r="D39" s="970"/>
      <c r="E39" s="971"/>
    </row>
    <row r="40" spans="1:5" x14ac:dyDescent="0.25">
      <c r="A40" s="955"/>
      <c r="B40" s="969"/>
      <c r="C40" s="970"/>
      <c r="D40" s="970"/>
      <c r="E40" s="971"/>
    </row>
    <row r="41" spans="1:5" x14ac:dyDescent="0.25">
      <c r="A41" s="955"/>
      <c r="B41" s="969"/>
      <c r="C41" s="970"/>
      <c r="D41" s="970"/>
      <c r="E41" s="971"/>
    </row>
    <row r="42" spans="1:5" x14ac:dyDescent="0.25">
      <c r="A42" s="956"/>
      <c r="B42" s="972"/>
      <c r="C42" s="973"/>
      <c r="D42" s="973"/>
      <c r="E42" s="974"/>
    </row>
    <row r="43" spans="1:5" x14ac:dyDescent="0.25">
      <c r="A43" s="954" t="s">
        <v>535</v>
      </c>
      <c r="B43" s="945"/>
      <c r="C43" s="946"/>
      <c r="D43" s="946"/>
      <c r="E43" s="947"/>
    </row>
    <row r="44" spans="1:5" x14ac:dyDescent="0.25">
      <c r="A44" s="955"/>
      <c r="B44" s="948"/>
      <c r="C44" s="949"/>
      <c r="D44" s="949"/>
      <c r="E44" s="950"/>
    </row>
    <row r="45" spans="1:5" x14ac:dyDescent="0.25">
      <c r="A45" s="955"/>
      <c r="B45" s="948"/>
      <c r="C45" s="949"/>
      <c r="D45" s="949"/>
      <c r="E45" s="950"/>
    </row>
    <row r="46" spans="1:5" x14ac:dyDescent="0.25">
      <c r="A46" s="955"/>
      <c r="B46" s="948"/>
      <c r="C46" s="949"/>
      <c r="D46" s="949"/>
      <c r="E46" s="950"/>
    </row>
    <row r="47" spans="1:5" x14ac:dyDescent="0.25">
      <c r="A47" s="955"/>
      <c r="B47" s="948"/>
      <c r="C47" s="949"/>
      <c r="D47" s="949"/>
      <c r="E47" s="950"/>
    </row>
    <row r="48" spans="1:5" x14ac:dyDescent="0.25">
      <c r="A48" s="955"/>
      <c r="B48" s="948"/>
      <c r="C48" s="949"/>
      <c r="D48" s="949"/>
      <c r="E48" s="950"/>
    </row>
    <row r="49" spans="1:5" x14ac:dyDescent="0.25">
      <c r="A49" s="955"/>
      <c r="B49" s="948"/>
      <c r="C49" s="949"/>
      <c r="D49" s="949"/>
      <c r="E49" s="950"/>
    </row>
    <row r="50" spans="1:5" x14ac:dyDescent="0.25">
      <c r="A50" s="955"/>
      <c r="B50" s="948"/>
      <c r="C50" s="949"/>
      <c r="D50" s="949"/>
      <c r="E50" s="950"/>
    </row>
    <row r="51" spans="1:5" x14ac:dyDescent="0.25">
      <c r="A51" s="955"/>
      <c r="B51" s="948"/>
      <c r="C51" s="949"/>
      <c r="D51" s="949"/>
      <c r="E51" s="950"/>
    </row>
    <row r="52" spans="1:5" x14ac:dyDescent="0.25">
      <c r="A52" s="955"/>
      <c r="B52" s="948"/>
      <c r="C52" s="949"/>
      <c r="D52" s="949"/>
      <c r="E52" s="950"/>
    </row>
    <row r="53" spans="1:5" x14ac:dyDescent="0.25">
      <c r="A53" s="956"/>
      <c r="B53" s="951"/>
      <c r="C53" s="952"/>
      <c r="D53" s="952"/>
      <c r="E53" s="953"/>
    </row>
    <row r="54" spans="1:5" ht="12.6" customHeight="1" x14ac:dyDescent="0.25">
      <c r="A54" s="954" t="s">
        <v>534</v>
      </c>
      <c r="B54" s="945"/>
      <c r="C54" s="946"/>
      <c r="D54" s="946"/>
      <c r="E54" s="947"/>
    </row>
    <row r="55" spans="1:5" x14ac:dyDescent="0.25">
      <c r="A55" s="955"/>
      <c r="B55" s="948"/>
      <c r="C55" s="949"/>
      <c r="D55" s="949"/>
      <c r="E55" s="950"/>
    </row>
    <row r="56" spans="1:5" x14ac:dyDescent="0.25">
      <c r="A56" s="955"/>
      <c r="B56" s="948"/>
      <c r="C56" s="949"/>
      <c r="D56" s="949"/>
      <c r="E56" s="950"/>
    </row>
    <row r="57" spans="1:5" x14ac:dyDescent="0.25">
      <c r="A57" s="955"/>
      <c r="B57" s="948"/>
      <c r="C57" s="949"/>
      <c r="D57" s="949"/>
      <c r="E57" s="950"/>
    </row>
    <row r="58" spans="1:5" x14ac:dyDescent="0.25">
      <c r="A58" s="955"/>
      <c r="B58" s="948"/>
      <c r="C58" s="949"/>
      <c r="D58" s="949"/>
      <c r="E58" s="950"/>
    </row>
    <row r="59" spans="1:5" x14ac:dyDescent="0.25">
      <c r="A59" s="955"/>
      <c r="B59" s="948"/>
      <c r="C59" s="949"/>
      <c r="D59" s="949"/>
      <c r="E59" s="950"/>
    </row>
    <row r="60" spans="1:5" x14ac:dyDescent="0.25">
      <c r="A60" s="955"/>
      <c r="B60" s="948"/>
      <c r="C60" s="949"/>
      <c r="D60" s="949"/>
      <c r="E60" s="950"/>
    </row>
    <row r="61" spans="1:5" x14ac:dyDescent="0.25">
      <c r="A61" s="955"/>
      <c r="B61" s="948"/>
      <c r="C61" s="949"/>
      <c r="D61" s="949"/>
      <c r="E61" s="950"/>
    </row>
    <row r="62" spans="1:5" x14ac:dyDescent="0.25">
      <c r="A62" s="955"/>
      <c r="B62" s="948"/>
      <c r="C62" s="949"/>
      <c r="D62" s="949"/>
      <c r="E62" s="950"/>
    </row>
    <row r="63" spans="1:5" x14ac:dyDescent="0.25">
      <c r="A63" s="955"/>
      <c r="B63" s="948"/>
      <c r="C63" s="949"/>
      <c r="D63" s="949"/>
      <c r="E63" s="950"/>
    </row>
    <row r="64" spans="1:5" x14ac:dyDescent="0.25">
      <c r="A64" s="956"/>
      <c r="B64" s="951"/>
      <c r="C64" s="952"/>
      <c r="D64" s="952"/>
      <c r="E64" s="953"/>
    </row>
    <row r="65" spans="1:5" x14ac:dyDescent="0.25">
      <c r="A65" s="954" t="s">
        <v>533</v>
      </c>
      <c r="B65" s="957" t="s">
        <v>1552</v>
      </c>
      <c r="C65" s="975"/>
      <c r="D65" s="975"/>
      <c r="E65" s="976"/>
    </row>
    <row r="66" spans="1:5" x14ac:dyDescent="0.25">
      <c r="A66" s="955"/>
      <c r="B66" s="977"/>
      <c r="C66" s="978"/>
      <c r="D66" s="978"/>
      <c r="E66" s="979"/>
    </row>
    <row r="67" spans="1:5" x14ac:dyDescent="0.25">
      <c r="A67" s="955"/>
      <c r="B67" s="977"/>
      <c r="C67" s="978"/>
      <c r="D67" s="978"/>
      <c r="E67" s="979"/>
    </row>
    <row r="68" spans="1:5" x14ac:dyDescent="0.25">
      <c r="A68" s="955"/>
      <c r="B68" s="977"/>
      <c r="C68" s="978"/>
      <c r="D68" s="978"/>
      <c r="E68" s="979"/>
    </row>
    <row r="69" spans="1:5" x14ac:dyDescent="0.25">
      <c r="A69" s="955"/>
      <c r="B69" s="977"/>
      <c r="C69" s="978"/>
      <c r="D69" s="978"/>
      <c r="E69" s="979"/>
    </row>
    <row r="70" spans="1:5" x14ac:dyDescent="0.25">
      <c r="A70" s="955"/>
      <c r="B70" s="977"/>
      <c r="C70" s="978"/>
      <c r="D70" s="978"/>
      <c r="E70" s="979"/>
    </row>
    <row r="71" spans="1:5" x14ac:dyDescent="0.25">
      <c r="A71" s="955"/>
      <c r="B71" s="977"/>
      <c r="C71" s="978"/>
      <c r="D71" s="978"/>
      <c r="E71" s="979"/>
    </row>
    <row r="72" spans="1:5" x14ac:dyDescent="0.25">
      <c r="A72" s="955"/>
      <c r="B72" s="977"/>
      <c r="C72" s="978"/>
      <c r="D72" s="978"/>
      <c r="E72" s="979"/>
    </row>
    <row r="73" spans="1:5" x14ac:dyDescent="0.25">
      <c r="A73" s="955"/>
      <c r="B73" s="977"/>
      <c r="C73" s="978"/>
      <c r="D73" s="978"/>
      <c r="E73" s="979"/>
    </row>
    <row r="74" spans="1:5" x14ac:dyDescent="0.25">
      <c r="A74" s="955"/>
      <c r="B74" s="977"/>
      <c r="C74" s="978"/>
      <c r="D74" s="978"/>
      <c r="E74" s="979"/>
    </row>
    <row r="75" spans="1:5" x14ac:dyDescent="0.25">
      <c r="A75" s="956"/>
      <c r="B75" s="980"/>
      <c r="C75" s="981"/>
      <c r="D75" s="981"/>
      <c r="E75" s="982"/>
    </row>
    <row r="76" spans="1:5" x14ac:dyDescent="0.25">
      <c r="A76" s="954" t="s">
        <v>532</v>
      </c>
      <c r="B76" s="945"/>
      <c r="C76" s="946"/>
      <c r="D76" s="946"/>
      <c r="E76" s="947"/>
    </row>
    <row r="77" spans="1:5" x14ac:dyDescent="0.25">
      <c r="A77" s="955"/>
      <c r="B77" s="948"/>
      <c r="C77" s="949"/>
      <c r="D77" s="949"/>
      <c r="E77" s="950"/>
    </row>
    <row r="78" spans="1:5" x14ac:dyDescent="0.25">
      <c r="A78" s="955"/>
      <c r="B78" s="948"/>
      <c r="C78" s="949"/>
      <c r="D78" s="949"/>
      <c r="E78" s="950"/>
    </row>
    <row r="79" spans="1:5" x14ac:dyDescent="0.25">
      <c r="A79" s="955"/>
      <c r="B79" s="948"/>
      <c r="C79" s="949"/>
      <c r="D79" s="949"/>
      <c r="E79" s="950"/>
    </row>
    <row r="80" spans="1:5" x14ac:dyDescent="0.25">
      <c r="A80" s="955"/>
      <c r="B80" s="948"/>
      <c r="C80" s="949"/>
      <c r="D80" s="949"/>
      <c r="E80" s="950"/>
    </row>
    <row r="81" spans="1:5" x14ac:dyDescent="0.25">
      <c r="A81" s="955"/>
      <c r="B81" s="948"/>
      <c r="C81" s="949"/>
      <c r="D81" s="949"/>
      <c r="E81" s="950"/>
    </row>
    <row r="82" spans="1:5" x14ac:dyDescent="0.25">
      <c r="A82" s="955"/>
      <c r="B82" s="948"/>
      <c r="C82" s="949"/>
      <c r="D82" s="949"/>
      <c r="E82" s="950"/>
    </row>
    <row r="83" spans="1:5" x14ac:dyDescent="0.25">
      <c r="A83" s="955"/>
      <c r="B83" s="948"/>
      <c r="C83" s="949"/>
      <c r="D83" s="949"/>
      <c r="E83" s="950"/>
    </row>
    <row r="84" spans="1:5" x14ac:dyDescent="0.25">
      <c r="A84" s="955"/>
      <c r="B84" s="948"/>
      <c r="C84" s="949"/>
      <c r="D84" s="949"/>
      <c r="E84" s="950"/>
    </row>
    <row r="85" spans="1:5" x14ac:dyDescent="0.25">
      <c r="A85" s="955"/>
      <c r="B85" s="948"/>
      <c r="C85" s="949"/>
      <c r="D85" s="949"/>
      <c r="E85" s="950"/>
    </row>
    <row r="86" spans="1:5" x14ac:dyDescent="0.25">
      <c r="A86" s="956"/>
      <c r="B86" s="951"/>
      <c r="C86" s="952"/>
      <c r="D86" s="952"/>
      <c r="E86" s="953"/>
    </row>
    <row r="87" spans="1:5" x14ac:dyDescent="0.25">
      <c r="A87" s="954" t="s">
        <v>531</v>
      </c>
      <c r="B87" s="945"/>
      <c r="C87" s="946"/>
      <c r="D87" s="946"/>
      <c r="E87" s="947"/>
    </row>
    <row r="88" spans="1:5" x14ac:dyDescent="0.25">
      <c r="A88" s="955"/>
      <c r="B88" s="948"/>
      <c r="C88" s="949"/>
      <c r="D88" s="949"/>
      <c r="E88" s="950"/>
    </row>
    <row r="89" spans="1:5" x14ac:dyDescent="0.25">
      <c r="A89" s="955"/>
      <c r="B89" s="948"/>
      <c r="C89" s="949"/>
      <c r="D89" s="949"/>
      <c r="E89" s="950"/>
    </row>
    <row r="90" spans="1:5" x14ac:dyDescent="0.25">
      <c r="A90" s="955"/>
      <c r="B90" s="948"/>
      <c r="C90" s="949"/>
      <c r="D90" s="949"/>
      <c r="E90" s="950"/>
    </row>
    <row r="91" spans="1:5" x14ac:dyDescent="0.25">
      <c r="A91" s="955"/>
      <c r="B91" s="948"/>
      <c r="C91" s="949"/>
      <c r="D91" s="949"/>
      <c r="E91" s="950"/>
    </row>
    <row r="92" spans="1:5" x14ac:dyDescent="0.25">
      <c r="A92" s="955"/>
      <c r="B92" s="948"/>
      <c r="C92" s="949"/>
      <c r="D92" s="949"/>
      <c r="E92" s="950"/>
    </row>
    <row r="93" spans="1:5" x14ac:dyDescent="0.25">
      <c r="A93" s="955"/>
      <c r="B93" s="948"/>
      <c r="C93" s="949"/>
      <c r="D93" s="949"/>
      <c r="E93" s="950"/>
    </row>
    <row r="94" spans="1:5" x14ac:dyDescent="0.25">
      <c r="A94" s="955"/>
      <c r="B94" s="948"/>
      <c r="C94" s="949"/>
      <c r="D94" s="949"/>
      <c r="E94" s="950"/>
    </row>
    <row r="95" spans="1:5" x14ac:dyDescent="0.25">
      <c r="A95" s="955"/>
      <c r="B95" s="948"/>
      <c r="C95" s="949"/>
      <c r="D95" s="949"/>
      <c r="E95" s="950"/>
    </row>
    <row r="96" spans="1:5" x14ac:dyDescent="0.25">
      <c r="A96" s="955"/>
      <c r="B96" s="948"/>
      <c r="C96" s="949"/>
      <c r="D96" s="949"/>
      <c r="E96" s="950"/>
    </row>
    <row r="97" spans="1:5" x14ac:dyDescent="0.25">
      <c r="A97" s="956"/>
      <c r="B97" s="951"/>
      <c r="C97" s="952"/>
      <c r="D97" s="952"/>
      <c r="E97" s="953"/>
    </row>
    <row r="98" spans="1:5" x14ac:dyDescent="0.25">
      <c r="A98" s="954" t="s">
        <v>530</v>
      </c>
      <c r="B98" s="945"/>
      <c r="C98" s="946"/>
      <c r="D98" s="946"/>
      <c r="E98" s="947"/>
    </row>
    <row r="99" spans="1:5" x14ac:dyDescent="0.25">
      <c r="A99" s="955"/>
      <c r="B99" s="948"/>
      <c r="C99" s="949"/>
      <c r="D99" s="949"/>
      <c r="E99" s="950"/>
    </row>
    <row r="100" spans="1:5" x14ac:dyDescent="0.25">
      <c r="A100" s="955"/>
      <c r="B100" s="948"/>
      <c r="C100" s="949"/>
      <c r="D100" s="949"/>
      <c r="E100" s="950"/>
    </row>
    <row r="101" spans="1:5" x14ac:dyDescent="0.25">
      <c r="A101" s="955"/>
      <c r="B101" s="948"/>
      <c r="C101" s="949"/>
      <c r="D101" s="949"/>
      <c r="E101" s="950"/>
    </row>
    <row r="102" spans="1:5" x14ac:dyDescent="0.25">
      <c r="A102" s="955"/>
      <c r="B102" s="948"/>
      <c r="C102" s="949"/>
      <c r="D102" s="949"/>
      <c r="E102" s="950"/>
    </row>
    <row r="103" spans="1:5" x14ac:dyDescent="0.25">
      <c r="A103" s="955"/>
      <c r="B103" s="948"/>
      <c r="C103" s="949"/>
      <c r="D103" s="949"/>
      <c r="E103" s="950"/>
    </row>
    <row r="104" spans="1:5" x14ac:dyDescent="0.25">
      <c r="A104" s="955"/>
      <c r="B104" s="948"/>
      <c r="C104" s="949"/>
      <c r="D104" s="949"/>
      <c r="E104" s="950"/>
    </row>
    <row r="105" spans="1:5" x14ac:dyDescent="0.25">
      <c r="A105" s="955"/>
      <c r="B105" s="948"/>
      <c r="C105" s="949"/>
      <c r="D105" s="949"/>
      <c r="E105" s="950"/>
    </row>
    <row r="106" spans="1:5" x14ac:dyDescent="0.25">
      <c r="A106" s="955"/>
      <c r="B106" s="948"/>
      <c r="C106" s="949"/>
      <c r="D106" s="949"/>
      <c r="E106" s="950"/>
    </row>
    <row r="107" spans="1:5" x14ac:dyDescent="0.25">
      <c r="A107" s="955"/>
      <c r="B107" s="948"/>
      <c r="C107" s="949"/>
      <c r="D107" s="949"/>
      <c r="E107" s="950"/>
    </row>
    <row r="108" spans="1:5" x14ac:dyDescent="0.25">
      <c r="A108" s="956"/>
      <c r="B108" s="951"/>
      <c r="C108" s="952"/>
      <c r="D108" s="952"/>
      <c r="E108" s="953"/>
    </row>
    <row r="109" spans="1:5" x14ac:dyDescent="0.25">
      <c r="A109" s="954" t="s">
        <v>529</v>
      </c>
      <c r="B109" s="945"/>
      <c r="C109" s="946"/>
      <c r="D109" s="946"/>
      <c r="E109" s="947"/>
    </row>
    <row r="110" spans="1:5" x14ac:dyDescent="0.25">
      <c r="A110" s="955"/>
      <c r="B110" s="948"/>
      <c r="C110" s="949"/>
      <c r="D110" s="949"/>
      <c r="E110" s="950"/>
    </row>
    <row r="111" spans="1:5" x14ac:dyDescent="0.25">
      <c r="A111" s="955"/>
      <c r="B111" s="948"/>
      <c r="C111" s="949"/>
      <c r="D111" s="949"/>
      <c r="E111" s="950"/>
    </row>
    <row r="112" spans="1:5" x14ac:dyDescent="0.25">
      <c r="A112" s="955"/>
      <c r="B112" s="948"/>
      <c r="C112" s="949"/>
      <c r="D112" s="949"/>
      <c r="E112" s="950"/>
    </row>
    <row r="113" spans="1:5" x14ac:dyDescent="0.25">
      <c r="A113" s="955"/>
      <c r="B113" s="948"/>
      <c r="C113" s="949"/>
      <c r="D113" s="949"/>
      <c r="E113" s="950"/>
    </row>
    <row r="114" spans="1:5" x14ac:dyDescent="0.25">
      <c r="A114" s="955"/>
      <c r="B114" s="948"/>
      <c r="C114" s="949"/>
      <c r="D114" s="949"/>
      <c r="E114" s="950"/>
    </row>
    <row r="115" spans="1:5" x14ac:dyDescent="0.25">
      <c r="A115" s="955"/>
      <c r="B115" s="948"/>
      <c r="C115" s="949"/>
      <c r="D115" s="949"/>
      <c r="E115" s="950"/>
    </row>
    <row r="116" spans="1:5" x14ac:dyDescent="0.25">
      <c r="A116" s="955"/>
      <c r="B116" s="948"/>
      <c r="C116" s="949"/>
      <c r="D116" s="949"/>
      <c r="E116" s="950"/>
    </row>
    <row r="117" spans="1:5" x14ac:dyDescent="0.25">
      <c r="A117" s="955"/>
      <c r="B117" s="948"/>
      <c r="C117" s="949"/>
      <c r="D117" s="949"/>
      <c r="E117" s="950"/>
    </row>
    <row r="118" spans="1:5" x14ac:dyDescent="0.25">
      <c r="A118" s="955"/>
      <c r="B118" s="948"/>
      <c r="C118" s="949"/>
      <c r="D118" s="949"/>
      <c r="E118" s="950"/>
    </row>
    <row r="119" spans="1:5" x14ac:dyDescent="0.25">
      <c r="A119" s="956"/>
      <c r="B119" s="951"/>
      <c r="C119" s="952"/>
      <c r="D119" s="952"/>
      <c r="E119" s="953"/>
    </row>
    <row r="120" spans="1:5" x14ac:dyDescent="0.25">
      <c r="A120" s="954" t="s">
        <v>1369</v>
      </c>
      <c r="B120" s="945"/>
      <c r="C120" s="946"/>
      <c r="D120" s="946"/>
      <c r="E120" s="947"/>
    </row>
    <row r="121" spans="1:5" x14ac:dyDescent="0.25">
      <c r="A121" s="955"/>
      <c r="B121" s="948"/>
      <c r="C121" s="949"/>
      <c r="D121" s="949"/>
      <c r="E121" s="950"/>
    </row>
    <row r="122" spans="1:5" x14ac:dyDescent="0.25">
      <c r="A122" s="955"/>
      <c r="B122" s="948"/>
      <c r="C122" s="949"/>
      <c r="D122" s="949"/>
      <c r="E122" s="950"/>
    </row>
    <row r="123" spans="1:5" x14ac:dyDescent="0.25">
      <c r="A123" s="955"/>
      <c r="B123" s="948"/>
      <c r="C123" s="949"/>
      <c r="D123" s="949"/>
      <c r="E123" s="950"/>
    </row>
    <row r="124" spans="1:5" x14ac:dyDescent="0.25">
      <c r="A124" s="955"/>
      <c r="B124" s="948"/>
      <c r="C124" s="949"/>
      <c r="D124" s="949"/>
      <c r="E124" s="950"/>
    </row>
    <row r="125" spans="1:5" x14ac:dyDescent="0.25">
      <c r="A125" s="955"/>
      <c r="B125" s="948"/>
      <c r="C125" s="949"/>
      <c r="D125" s="949"/>
      <c r="E125" s="950"/>
    </row>
    <row r="126" spans="1:5" x14ac:dyDescent="0.25">
      <c r="A126" s="955"/>
      <c r="B126" s="948"/>
      <c r="C126" s="949"/>
      <c r="D126" s="949"/>
      <c r="E126" s="950"/>
    </row>
    <row r="127" spans="1:5" x14ac:dyDescent="0.25">
      <c r="A127" s="955"/>
      <c r="B127" s="948"/>
      <c r="C127" s="949"/>
      <c r="D127" s="949"/>
      <c r="E127" s="950"/>
    </row>
    <row r="128" spans="1:5" x14ac:dyDescent="0.25">
      <c r="A128" s="955"/>
      <c r="B128" s="948"/>
      <c r="C128" s="949"/>
      <c r="D128" s="949"/>
      <c r="E128" s="950"/>
    </row>
    <row r="129" spans="1:5" x14ac:dyDescent="0.25">
      <c r="A129" s="955"/>
      <c r="B129" s="948"/>
      <c r="C129" s="949"/>
      <c r="D129" s="949"/>
      <c r="E129" s="950"/>
    </row>
    <row r="130" spans="1:5" x14ac:dyDescent="0.25">
      <c r="A130" s="956"/>
      <c r="B130" s="951"/>
      <c r="C130" s="952"/>
      <c r="D130" s="952"/>
      <c r="E130" s="953"/>
    </row>
  </sheetData>
  <mergeCells count="24">
    <mergeCell ref="A120:A130"/>
    <mergeCell ref="B120:E130"/>
    <mergeCell ref="A54:A64"/>
    <mergeCell ref="B54:E64"/>
    <mergeCell ref="A65:A75"/>
    <mergeCell ref="B65:E75"/>
    <mergeCell ref="A76:A86"/>
    <mergeCell ref="B76:E86"/>
    <mergeCell ref="A87:A97"/>
    <mergeCell ref="B87:E97"/>
    <mergeCell ref="A98:A108"/>
    <mergeCell ref="B98:E108"/>
    <mergeCell ref="A109:A119"/>
    <mergeCell ref="B109:E119"/>
    <mergeCell ref="D6:E6"/>
    <mergeCell ref="A8:E8"/>
    <mergeCell ref="B10:E20"/>
    <mergeCell ref="A10:A20"/>
    <mergeCell ref="A43:A53"/>
    <mergeCell ref="B43:E53"/>
    <mergeCell ref="A21:A31"/>
    <mergeCell ref="B21:E31"/>
    <mergeCell ref="A32:A42"/>
    <mergeCell ref="B32:E42"/>
  </mergeCells>
  <phoneticPr fontId="13" type="noConversion"/>
  <printOptions horizontalCentered="1"/>
  <pageMargins left="0.75" right="0.75" top="1" bottom="1" header="0.5" footer="0.5"/>
  <pageSetup scale="61"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D14"/>
  <sheetViews>
    <sheetView topLeftCell="A14" zoomScale="60" zoomScaleNormal="60" workbookViewId="0">
      <selection sqref="A1:AI1048576"/>
    </sheetView>
  </sheetViews>
  <sheetFormatPr defaultColWidth="8.77734375" defaultRowHeight="13.2" x14ac:dyDescent="0.25"/>
  <cols>
    <col min="1" max="1" width="11.44140625" style="781" customWidth="1"/>
    <col min="2" max="2" width="12.5546875" style="781" customWidth="1"/>
    <col min="3" max="3" width="15.21875" style="781" bestFit="1" customWidth="1"/>
    <col min="4" max="4" width="97.77734375" style="781" customWidth="1"/>
    <col min="5" max="16384" width="8.77734375" style="781"/>
  </cols>
  <sheetData>
    <row r="1" spans="1:4" x14ac:dyDescent="0.25">
      <c r="A1" s="781" t="s">
        <v>1513</v>
      </c>
    </row>
    <row r="2" spans="1:4" x14ac:dyDescent="0.25">
      <c r="A2" s="251"/>
      <c r="B2" s="778"/>
      <c r="C2" s="778"/>
      <c r="D2" s="778"/>
    </row>
    <row r="3" spans="1:4" ht="26.4" x14ac:dyDescent="0.25">
      <c r="A3" s="779" t="s">
        <v>1514</v>
      </c>
      <c r="B3" s="780" t="s">
        <v>1515</v>
      </c>
      <c r="C3" s="780" t="s">
        <v>1516</v>
      </c>
      <c r="D3" s="780" t="s">
        <v>1517</v>
      </c>
    </row>
    <row r="4" spans="1:4" x14ac:dyDescent="0.25">
      <c r="A4" s="134" t="s">
        <v>227</v>
      </c>
      <c r="B4" s="782"/>
      <c r="C4" s="782"/>
      <c r="D4" s="783"/>
    </row>
    <row r="5" spans="1:4" ht="26.4" x14ac:dyDescent="0.25">
      <c r="A5" s="784">
        <v>1.1000000000000001</v>
      </c>
      <c r="B5" s="785">
        <v>44708</v>
      </c>
      <c r="C5" s="791" t="s">
        <v>1518</v>
      </c>
      <c r="D5" s="787" t="s">
        <v>1522</v>
      </c>
    </row>
    <row r="6" spans="1:4" x14ac:dyDescent="0.25">
      <c r="A6" s="786"/>
      <c r="C6" s="788" t="s">
        <v>538</v>
      </c>
      <c r="D6" s="788" t="s">
        <v>1519</v>
      </c>
    </row>
    <row r="7" spans="1:4" ht="118.8" x14ac:dyDescent="0.25">
      <c r="A7" s="786"/>
      <c r="C7" s="788" t="s">
        <v>536</v>
      </c>
      <c r="D7" s="789" t="s">
        <v>1520</v>
      </c>
    </row>
    <row r="8" spans="1:4" ht="118.8" x14ac:dyDescent="0.25">
      <c r="A8" s="786"/>
      <c r="C8" s="788" t="s">
        <v>533</v>
      </c>
      <c r="D8" s="789" t="s">
        <v>1523</v>
      </c>
    </row>
    <row r="9" spans="1:4" ht="26.4" x14ac:dyDescent="0.25">
      <c r="A9" s="786"/>
      <c r="C9" s="788" t="s">
        <v>531</v>
      </c>
      <c r="D9" s="789" t="s">
        <v>1524</v>
      </c>
    </row>
    <row r="10" spans="1:4" x14ac:dyDescent="0.25">
      <c r="A10" s="786"/>
      <c r="C10" s="788" t="s">
        <v>529</v>
      </c>
      <c r="D10" s="788" t="s">
        <v>1521</v>
      </c>
    </row>
    <row r="11" spans="1:4" x14ac:dyDescent="0.25">
      <c r="A11" s="786"/>
      <c r="C11" s="788" t="s">
        <v>1369</v>
      </c>
      <c r="D11" s="788" t="s">
        <v>1521</v>
      </c>
    </row>
    <row r="12" spans="1:4" ht="66" x14ac:dyDescent="0.25">
      <c r="A12" s="800">
        <v>1.2</v>
      </c>
      <c r="B12" s="805">
        <v>44930</v>
      </c>
      <c r="C12" s="802" t="s">
        <v>1518</v>
      </c>
      <c r="D12" s="806" t="s">
        <v>1542</v>
      </c>
    </row>
    <row r="13" spans="1:4" x14ac:dyDescent="0.25">
      <c r="B13" s="788"/>
      <c r="C13" s="801" t="s">
        <v>538</v>
      </c>
      <c r="D13" s="803" t="s">
        <v>1540</v>
      </c>
    </row>
    <row r="14" spans="1:4" ht="39.6" x14ac:dyDescent="0.25">
      <c r="B14" s="790"/>
      <c r="C14" s="799" t="s">
        <v>536</v>
      </c>
      <c r="D14" s="804" t="s">
        <v>1541</v>
      </c>
    </row>
  </sheetData>
  <sheetProtection algorithmName="SHA-512" hashValue="Fm8boKge9OaqHfc8krX3IY0jiByVM+JhzXE+hN86NeYkHer8lcR7cu+35xLX7cHaU6uCBKe/l8f/eIc1UA9zdA==" saltValue="Ppx7C/AiGazgwz4mbSIVpQ==" spinCount="100000" sheet="1" objects="1" scenarios="1"/>
  <pageMargins left="0.7" right="0.7" top="0.75" bottom="0.75" header="0.3" footer="0.3"/>
  <pageSetup scale="70"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V28"/>
  <sheetViews>
    <sheetView workbookViewId="0">
      <selection activeCell="Q40" sqref="Q40"/>
    </sheetView>
  </sheetViews>
  <sheetFormatPr defaultRowHeight="13.2" x14ac:dyDescent="0.25"/>
  <cols>
    <col min="4" max="4" width="31.5546875" customWidth="1"/>
    <col min="5" max="5" width="16.44140625" customWidth="1"/>
    <col min="6" max="6" width="13.5546875" bestFit="1" customWidth="1"/>
    <col min="7" max="7" width="12" bestFit="1" customWidth="1"/>
  </cols>
  <sheetData>
    <row r="1" spans="2:5" x14ac:dyDescent="0.25">
      <c r="B1" s="1" t="s">
        <v>11</v>
      </c>
      <c r="C1" s="2"/>
      <c r="D1" s="2"/>
      <c r="E1" s="46"/>
    </row>
    <row r="2" spans="2:5" x14ac:dyDescent="0.25">
      <c r="E2" s="3"/>
    </row>
    <row r="3" spans="2:5" x14ac:dyDescent="0.25">
      <c r="B3" s="4" t="s">
        <v>12</v>
      </c>
      <c r="C3" s="2"/>
      <c r="D3" s="2"/>
      <c r="E3" s="5">
        <v>1500000</v>
      </c>
    </row>
    <row r="7" spans="2:5" x14ac:dyDescent="0.25">
      <c r="B7" s="4" t="s">
        <v>13</v>
      </c>
      <c r="C7" s="2"/>
      <c r="D7" s="6"/>
      <c r="E7" s="2"/>
    </row>
    <row r="9" spans="2:5" x14ac:dyDescent="0.25">
      <c r="B9" s="7" t="s">
        <v>14</v>
      </c>
      <c r="C9" s="8"/>
      <c r="D9" s="8"/>
    </row>
    <row r="10" spans="2:5" x14ac:dyDescent="0.25">
      <c r="B10" s="8"/>
      <c r="C10" s="8"/>
      <c r="D10" s="8"/>
    </row>
    <row r="11" spans="2:5" x14ac:dyDescent="0.25">
      <c r="B11" s="8" t="s">
        <v>15</v>
      </c>
      <c r="C11" s="8"/>
      <c r="D11" s="9">
        <v>310</v>
      </c>
    </row>
    <row r="12" spans="2:5" x14ac:dyDescent="0.25">
      <c r="B12" s="8" t="s">
        <v>16</v>
      </c>
      <c r="C12" s="8"/>
      <c r="D12" s="10">
        <v>134408.60215053763</v>
      </c>
    </row>
    <row r="13" spans="2:5" x14ac:dyDescent="0.25">
      <c r="B13" s="8"/>
      <c r="C13" s="8"/>
      <c r="D13" s="8"/>
    </row>
    <row r="14" spans="2:5" x14ac:dyDescent="0.25">
      <c r="B14" s="8" t="s">
        <v>17</v>
      </c>
      <c r="C14" s="8"/>
      <c r="D14" s="8"/>
      <c r="E14" s="3">
        <f>D11*D12</f>
        <v>41666666.666666664</v>
      </c>
    </row>
    <row r="15" spans="2:5" x14ac:dyDescent="0.25">
      <c r="B15" s="8"/>
      <c r="C15" s="8"/>
      <c r="D15" s="8"/>
    </row>
    <row r="16" spans="2:5" x14ac:dyDescent="0.25">
      <c r="B16" s="8" t="s">
        <v>18</v>
      </c>
      <c r="C16" s="8"/>
      <c r="D16" s="8"/>
      <c r="E16" s="3">
        <f>E14*1.5</f>
        <v>62500000</v>
      </c>
    </row>
    <row r="18" spans="1:256" ht="13.8" thickBot="1" x14ac:dyDescent="0.3">
      <c r="A18" s="11"/>
      <c r="B18" s="8" t="s">
        <v>19</v>
      </c>
      <c r="C18" s="11"/>
      <c r="D18" s="11"/>
      <c r="E18" s="12">
        <f>E16</f>
        <v>62500000</v>
      </c>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row>
    <row r="19" spans="1:256" ht="13.8" thickTop="1" x14ac:dyDescent="0.25">
      <c r="A19" s="11"/>
      <c r="B19" s="8"/>
      <c r="C19" s="11"/>
      <c r="D19" s="11"/>
      <c r="E19" s="13"/>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1"/>
      <c r="CA19" s="11"/>
      <c r="CB19" s="11"/>
      <c r="CC19" s="11"/>
      <c r="CD19" s="11"/>
      <c r="CE19" s="11"/>
      <c r="CF19" s="11"/>
      <c r="CG19" s="11"/>
      <c r="CH19" s="11"/>
      <c r="CI19" s="11"/>
      <c r="CJ19" s="11"/>
      <c r="CK19" s="11"/>
      <c r="CL19" s="11"/>
      <c r="CM19" s="11"/>
      <c r="CN19" s="11"/>
      <c r="CO19" s="11"/>
      <c r="CP19" s="11"/>
      <c r="CQ19" s="11"/>
      <c r="CR19" s="11"/>
      <c r="CS19" s="11"/>
      <c r="CT19" s="11"/>
      <c r="CU19" s="11"/>
      <c r="CV19" s="11"/>
      <c r="CW19" s="11"/>
      <c r="CX19" s="11"/>
      <c r="CY19" s="11"/>
      <c r="CZ19" s="11"/>
      <c r="DA19" s="11"/>
      <c r="DB19" s="11"/>
      <c r="DC19" s="11"/>
      <c r="DD19" s="11"/>
      <c r="DE19" s="11"/>
      <c r="DF19" s="11"/>
      <c r="DG19" s="11"/>
      <c r="DH19" s="11"/>
      <c r="DI19" s="11"/>
      <c r="DJ19" s="11"/>
      <c r="DK19" s="11"/>
      <c r="DL19" s="11"/>
      <c r="DM19" s="11"/>
      <c r="DN19" s="11"/>
      <c r="DO19" s="11"/>
      <c r="DP19" s="11"/>
      <c r="DQ19" s="11"/>
      <c r="DR19" s="11"/>
      <c r="DS19" s="11"/>
      <c r="DT19" s="11"/>
      <c r="DU19" s="11"/>
      <c r="DV19" s="11"/>
      <c r="DW19" s="11"/>
      <c r="DX19" s="11"/>
      <c r="DY19" s="11"/>
      <c r="DZ19" s="11"/>
      <c r="EA19" s="11"/>
      <c r="EB19" s="11"/>
      <c r="EC19" s="11"/>
      <c r="ED19" s="11"/>
      <c r="EE19" s="11"/>
      <c r="EF19" s="11"/>
      <c r="EG19" s="11"/>
      <c r="EH19" s="11"/>
      <c r="EI19" s="11"/>
      <c r="EJ19" s="11"/>
      <c r="EK19" s="11"/>
      <c r="EL19" s="11"/>
      <c r="EM19" s="11"/>
      <c r="EN19" s="11"/>
      <c r="EO19" s="11"/>
      <c r="EP19" s="11"/>
      <c r="EQ19" s="11"/>
      <c r="ER19" s="11"/>
      <c r="ES19" s="11"/>
      <c r="ET19" s="11"/>
      <c r="EU19" s="11"/>
      <c r="EV19" s="11"/>
      <c r="EW19" s="11"/>
      <c r="EX19" s="11"/>
      <c r="EY19" s="11"/>
      <c r="EZ19" s="11"/>
      <c r="FA19" s="11"/>
      <c r="FB19" s="11"/>
      <c r="FC19" s="11"/>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IO19" s="11"/>
      <c r="IP19" s="11"/>
      <c r="IQ19" s="11"/>
      <c r="IR19" s="11"/>
      <c r="IS19" s="11"/>
      <c r="IT19" s="11"/>
      <c r="IU19" s="11"/>
      <c r="IV19" s="11"/>
    </row>
    <row r="20" spans="1:256" x14ac:dyDescent="0.25">
      <c r="A20" s="11"/>
      <c r="B20" s="8" t="s">
        <v>20</v>
      </c>
      <c r="C20" s="11"/>
      <c r="D20" s="11"/>
      <c r="E20" s="13">
        <f>E14*12</f>
        <v>500000000</v>
      </c>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c r="IV20" s="11"/>
    </row>
    <row r="21" spans="1:256" x14ac:dyDescent="0.25">
      <c r="A21" s="11"/>
      <c r="B21" s="8"/>
      <c r="C21" s="11"/>
      <c r="D21" s="11"/>
      <c r="E21" s="14"/>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c r="EA21" s="11"/>
      <c r="EB21" s="11"/>
      <c r="EC21" s="11"/>
      <c r="ED21" s="11"/>
      <c r="EE21" s="11"/>
      <c r="EF21" s="11"/>
      <c r="EG21" s="11"/>
      <c r="EH21" s="11"/>
      <c r="EI21" s="11"/>
      <c r="EJ21" s="11"/>
      <c r="EK21" s="11"/>
      <c r="EL21" s="11"/>
      <c r="EM21" s="11"/>
      <c r="EN21" s="11"/>
      <c r="EO21" s="11"/>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IO21" s="11"/>
      <c r="IP21" s="11"/>
      <c r="IQ21" s="11"/>
      <c r="IR21" s="11"/>
      <c r="IS21" s="11"/>
      <c r="IT21" s="11"/>
      <c r="IU21" s="11"/>
      <c r="IV21" s="11"/>
    </row>
    <row r="22" spans="1:256" ht="13.8" thickBot="1" x14ac:dyDescent="0.3">
      <c r="A22" s="11"/>
      <c r="B22" s="4" t="s">
        <v>21</v>
      </c>
      <c r="C22" s="15"/>
      <c r="D22" s="15"/>
      <c r="E22" s="16">
        <f>E3+E18</f>
        <v>64000000</v>
      </c>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c r="IS22" s="11"/>
      <c r="IT22" s="11"/>
      <c r="IU22" s="11"/>
      <c r="IV22" s="11"/>
    </row>
    <row r="23" spans="1:256" ht="13.8" thickTop="1" x14ac:dyDescent="0.25">
      <c r="A23" s="11"/>
      <c r="B23" s="8"/>
      <c r="C23" s="11"/>
      <c r="D23" s="11"/>
      <c r="E23" s="14"/>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row>
    <row r="25" spans="1:256" x14ac:dyDescent="0.25">
      <c r="B25" s="17" t="s">
        <v>22</v>
      </c>
    </row>
    <row r="26" spans="1:256" x14ac:dyDescent="0.25">
      <c r="B26" s="8" t="s">
        <v>23</v>
      </c>
    </row>
    <row r="27" spans="1:256" x14ac:dyDescent="0.25">
      <c r="B27" s="8" t="s">
        <v>24</v>
      </c>
    </row>
    <row r="28" spans="1:256" x14ac:dyDescent="0.25">
      <c r="B28" s="8" t="s">
        <v>25</v>
      </c>
    </row>
  </sheetData>
  <phoneticPr fontId="13" type="noConversion"/>
  <pageMargins left="0.7" right="0.7" top="0.75" bottom="0.75" header="0.3" footer="0.3"/>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14"/>
  <sheetViews>
    <sheetView zoomScale="60" zoomScaleNormal="60" workbookViewId="0"/>
  </sheetViews>
  <sheetFormatPr defaultColWidth="9.44140625" defaultRowHeight="13.2" x14ac:dyDescent="0.25"/>
  <cols>
    <col min="1" max="1" width="17.5546875" style="301" customWidth="1"/>
    <col min="2" max="2" width="63.5546875" style="297" customWidth="1"/>
    <col min="3" max="3" width="84" style="297" customWidth="1"/>
    <col min="4" max="16384" width="9.44140625" style="297"/>
  </cols>
  <sheetData>
    <row r="1" spans="1:3" s="294" customFormat="1" ht="27" thickBot="1" x14ac:dyDescent="0.3">
      <c r="A1" s="291" t="s">
        <v>164</v>
      </c>
      <c r="B1" s="292" t="s">
        <v>165</v>
      </c>
      <c r="C1" s="293" t="s">
        <v>166</v>
      </c>
    </row>
    <row r="2" spans="1:3" ht="40.200000000000003" thickBot="1" x14ac:dyDescent="0.3">
      <c r="A2" s="90"/>
      <c r="B2" s="295" t="s">
        <v>539</v>
      </c>
      <c r="C2" s="296" t="s">
        <v>525</v>
      </c>
    </row>
    <row r="3" spans="1:3" ht="39.6" x14ac:dyDescent="0.25">
      <c r="A3" s="302" t="s">
        <v>487</v>
      </c>
      <c r="B3" s="276" t="s">
        <v>278</v>
      </c>
      <c r="C3" s="303" t="s">
        <v>492</v>
      </c>
    </row>
    <row r="4" spans="1:3" ht="39.6" x14ac:dyDescent="0.25">
      <c r="A4" s="302" t="s">
        <v>488</v>
      </c>
      <c r="B4" s="276" t="s">
        <v>279</v>
      </c>
      <c r="C4" s="303" t="s">
        <v>493</v>
      </c>
    </row>
    <row r="5" spans="1:3" ht="39.6" x14ac:dyDescent="0.25">
      <c r="A5" s="302" t="s">
        <v>489</v>
      </c>
      <c r="B5" s="276" t="s">
        <v>280</v>
      </c>
      <c r="C5" s="303" t="s">
        <v>494</v>
      </c>
    </row>
    <row r="6" spans="1:3" ht="26.4" x14ac:dyDescent="0.25">
      <c r="A6" s="302">
        <v>1</v>
      </c>
      <c r="B6" s="276" t="s">
        <v>490</v>
      </c>
      <c r="C6" s="303" t="s">
        <v>495</v>
      </c>
    </row>
    <row r="7" spans="1:3" ht="26.4" x14ac:dyDescent="0.25">
      <c r="A7" s="302">
        <v>2</v>
      </c>
      <c r="B7" s="276" t="s">
        <v>491</v>
      </c>
      <c r="C7" s="303" t="s">
        <v>496</v>
      </c>
    </row>
    <row r="8" spans="1:3" ht="27" thickBot="1" x14ac:dyDescent="0.3">
      <c r="A8" s="302">
        <v>3</v>
      </c>
      <c r="B8" s="276" t="s">
        <v>205</v>
      </c>
      <c r="C8" s="303" t="s">
        <v>497</v>
      </c>
    </row>
    <row r="9" spans="1:3" ht="27" thickBot="1" x14ac:dyDescent="0.3">
      <c r="A9" s="90"/>
      <c r="B9" s="295" t="s">
        <v>540</v>
      </c>
      <c r="C9" s="296" t="s">
        <v>376</v>
      </c>
    </row>
    <row r="10" spans="1:3" x14ac:dyDescent="0.25">
      <c r="A10" s="284"/>
      <c r="B10" s="92" t="s">
        <v>71</v>
      </c>
      <c r="C10" s="285"/>
    </row>
    <row r="11" spans="1:3" ht="39.6" x14ac:dyDescent="0.25">
      <c r="A11" s="304">
        <f>'Schedule 2_Balance Sheet'!B11</f>
        <v>1</v>
      </c>
      <c r="B11" s="279" t="s">
        <v>342</v>
      </c>
      <c r="C11" s="156" t="s">
        <v>167</v>
      </c>
    </row>
    <row r="12" spans="1:3" ht="52.8" x14ac:dyDescent="0.25">
      <c r="A12" s="305">
        <f>'Schedule 2_Balance Sheet'!B12</f>
        <v>2</v>
      </c>
      <c r="B12" s="279" t="s">
        <v>343</v>
      </c>
      <c r="C12" s="286" t="s">
        <v>168</v>
      </c>
    </row>
    <row r="13" spans="1:3" x14ac:dyDescent="0.25">
      <c r="A13" s="305">
        <f>'Schedule 2_Balance Sheet'!B13</f>
        <v>3</v>
      </c>
      <c r="B13" s="279" t="s">
        <v>498</v>
      </c>
      <c r="C13" s="286" t="s">
        <v>1327</v>
      </c>
    </row>
    <row r="14" spans="1:3" x14ac:dyDescent="0.25">
      <c r="A14" s="305">
        <f>'Schedule 2_Balance Sheet'!B14</f>
        <v>4</v>
      </c>
      <c r="B14" s="279" t="s">
        <v>344</v>
      </c>
      <c r="C14" s="286" t="s">
        <v>377</v>
      </c>
    </row>
    <row r="15" spans="1:3" ht="26.4" x14ac:dyDescent="0.25">
      <c r="A15" s="305">
        <f>'Schedule 2_Balance Sheet'!B15</f>
        <v>5</v>
      </c>
      <c r="B15" s="279" t="s">
        <v>345</v>
      </c>
      <c r="C15" s="286" t="s">
        <v>378</v>
      </c>
    </row>
    <row r="16" spans="1:3" x14ac:dyDescent="0.25">
      <c r="A16" s="305">
        <f>'Schedule 2_Balance Sheet'!B16</f>
        <v>6</v>
      </c>
      <c r="B16" s="279" t="s">
        <v>54</v>
      </c>
      <c r="C16" s="287" t="s">
        <v>379</v>
      </c>
    </row>
    <row r="17" spans="1:3" x14ac:dyDescent="0.25">
      <c r="A17" s="306" t="s">
        <v>169</v>
      </c>
      <c r="B17" s="279" t="s">
        <v>149</v>
      </c>
      <c r="C17" s="286" t="s">
        <v>380</v>
      </c>
    </row>
    <row r="18" spans="1:3" x14ac:dyDescent="0.25">
      <c r="A18" s="307">
        <v>11</v>
      </c>
      <c r="B18" s="276" t="s">
        <v>5</v>
      </c>
      <c r="C18" s="280" t="s">
        <v>500</v>
      </c>
    </row>
    <row r="19" spans="1:3" x14ac:dyDescent="0.25">
      <c r="A19" s="305">
        <v>12</v>
      </c>
      <c r="B19" s="279" t="s">
        <v>346</v>
      </c>
      <c r="C19" s="286" t="s">
        <v>381</v>
      </c>
    </row>
    <row r="20" spans="1:3" ht="39.6" x14ac:dyDescent="0.25">
      <c r="A20" s="305">
        <v>13</v>
      </c>
      <c r="B20" s="279" t="s">
        <v>347</v>
      </c>
      <c r="C20" s="287" t="s">
        <v>170</v>
      </c>
    </row>
    <row r="21" spans="1:3" x14ac:dyDescent="0.25">
      <c r="A21" s="305">
        <v>14</v>
      </c>
      <c r="B21" s="279" t="s">
        <v>348</v>
      </c>
      <c r="C21" s="287" t="s">
        <v>382</v>
      </c>
    </row>
    <row r="22" spans="1:3" x14ac:dyDescent="0.25">
      <c r="A22" s="305">
        <v>15</v>
      </c>
      <c r="B22" s="279" t="s">
        <v>349</v>
      </c>
      <c r="C22" s="287" t="s">
        <v>171</v>
      </c>
    </row>
    <row r="23" spans="1:3" x14ac:dyDescent="0.25">
      <c r="A23" s="305">
        <v>16</v>
      </c>
      <c r="B23" s="279" t="s">
        <v>350</v>
      </c>
      <c r="C23" s="287" t="s">
        <v>383</v>
      </c>
    </row>
    <row r="24" spans="1:3" ht="39.6" x14ac:dyDescent="0.25">
      <c r="A24" s="305">
        <v>17</v>
      </c>
      <c r="B24" s="279" t="s">
        <v>351</v>
      </c>
      <c r="C24" s="287" t="s">
        <v>172</v>
      </c>
    </row>
    <row r="25" spans="1:3" x14ac:dyDescent="0.25">
      <c r="A25" s="305" t="s">
        <v>173</v>
      </c>
      <c r="B25" s="279" t="s">
        <v>352</v>
      </c>
      <c r="C25" s="287" t="s">
        <v>384</v>
      </c>
    </row>
    <row r="26" spans="1:3" x14ac:dyDescent="0.25">
      <c r="A26" s="307">
        <v>21</v>
      </c>
      <c r="B26" s="276" t="s">
        <v>33</v>
      </c>
      <c r="C26" s="280" t="s">
        <v>501</v>
      </c>
    </row>
    <row r="27" spans="1:3" x14ac:dyDescent="0.25">
      <c r="A27" s="305">
        <v>22</v>
      </c>
      <c r="B27" s="279" t="s">
        <v>353</v>
      </c>
      <c r="C27" s="287" t="s">
        <v>174</v>
      </c>
    </row>
    <row r="28" spans="1:3" ht="39.6" x14ac:dyDescent="0.25">
      <c r="A28" s="305">
        <v>23</v>
      </c>
      <c r="B28" s="279" t="s">
        <v>354</v>
      </c>
      <c r="C28" s="287" t="s">
        <v>1328</v>
      </c>
    </row>
    <row r="29" spans="1:3" ht="39.6" x14ac:dyDescent="0.25">
      <c r="A29" s="305">
        <v>24</v>
      </c>
      <c r="B29" s="279" t="s">
        <v>355</v>
      </c>
      <c r="C29" s="281" t="s">
        <v>503</v>
      </c>
    </row>
    <row r="30" spans="1:3" ht="39" customHeight="1" x14ac:dyDescent="0.25">
      <c r="A30" s="305">
        <v>25</v>
      </c>
      <c r="B30" s="279" t="s">
        <v>356</v>
      </c>
      <c r="C30" s="287" t="s">
        <v>175</v>
      </c>
    </row>
    <row r="31" spans="1:3" ht="16.8" customHeight="1" x14ac:dyDescent="0.25">
      <c r="A31" s="305">
        <v>26</v>
      </c>
      <c r="B31" s="279" t="s">
        <v>357</v>
      </c>
      <c r="C31" s="287" t="s">
        <v>385</v>
      </c>
    </row>
    <row r="32" spans="1:3" ht="28.8" customHeight="1" x14ac:dyDescent="0.25">
      <c r="A32" s="305" t="s">
        <v>177</v>
      </c>
      <c r="B32" s="279" t="s">
        <v>358</v>
      </c>
      <c r="C32" s="287" t="s">
        <v>386</v>
      </c>
    </row>
    <row r="33" spans="1:3" x14ac:dyDescent="0.25">
      <c r="A33" s="307">
        <v>30</v>
      </c>
      <c r="B33" s="276" t="s">
        <v>34</v>
      </c>
      <c r="C33" s="281" t="s">
        <v>502</v>
      </c>
    </row>
    <row r="34" spans="1:3" x14ac:dyDescent="0.25">
      <c r="A34" s="305">
        <v>31</v>
      </c>
      <c r="B34" s="279" t="s">
        <v>7</v>
      </c>
      <c r="C34" s="287" t="s">
        <v>387</v>
      </c>
    </row>
    <row r="35" spans="1:3" x14ac:dyDescent="0.25">
      <c r="A35" s="288"/>
      <c r="B35" s="91" t="s">
        <v>36</v>
      </c>
      <c r="C35" s="289"/>
    </row>
    <row r="36" spans="1:3" ht="39.6" x14ac:dyDescent="0.25">
      <c r="A36" s="305">
        <v>32</v>
      </c>
      <c r="B36" s="279" t="s">
        <v>55</v>
      </c>
      <c r="C36" s="287" t="s">
        <v>388</v>
      </c>
    </row>
    <row r="37" spans="1:3" x14ac:dyDescent="0.25">
      <c r="A37" s="305">
        <v>33</v>
      </c>
      <c r="B37" s="279" t="s">
        <v>359</v>
      </c>
      <c r="C37" s="287" t="s">
        <v>417</v>
      </c>
    </row>
    <row r="38" spans="1:3" x14ac:dyDescent="0.25">
      <c r="A38" s="305">
        <v>34</v>
      </c>
      <c r="B38" s="279" t="s">
        <v>360</v>
      </c>
      <c r="C38" s="287" t="s">
        <v>389</v>
      </c>
    </row>
    <row r="39" spans="1:3" x14ac:dyDescent="0.25">
      <c r="A39" s="305">
        <v>35</v>
      </c>
      <c r="B39" s="279" t="s">
        <v>361</v>
      </c>
      <c r="C39" s="287" t="s">
        <v>390</v>
      </c>
    </row>
    <row r="40" spans="1:3" x14ac:dyDescent="0.25">
      <c r="A40" s="305">
        <v>36</v>
      </c>
      <c r="B40" s="279" t="s">
        <v>362</v>
      </c>
      <c r="C40" s="287" t="s">
        <v>176</v>
      </c>
    </row>
    <row r="41" spans="1:3" x14ac:dyDescent="0.25">
      <c r="A41" s="305">
        <v>37</v>
      </c>
      <c r="B41" s="279" t="s">
        <v>363</v>
      </c>
      <c r="C41" s="287" t="s">
        <v>391</v>
      </c>
    </row>
    <row r="42" spans="1:3" ht="26.4" x14ac:dyDescent="0.25">
      <c r="A42" s="305">
        <v>38</v>
      </c>
      <c r="B42" s="279" t="s">
        <v>364</v>
      </c>
      <c r="C42" s="287" t="s">
        <v>1329</v>
      </c>
    </row>
    <row r="43" spans="1:3" x14ac:dyDescent="0.25">
      <c r="A43" s="305">
        <v>39</v>
      </c>
      <c r="B43" s="279" t="s">
        <v>156</v>
      </c>
      <c r="C43" s="287" t="s">
        <v>392</v>
      </c>
    </row>
    <row r="44" spans="1:3" ht="39.6" x14ac:dyDescent="0.25">
      <c r="A44" s="305">
        <v>40</v>
      </c>
      <c r="B44" s="279" t="s">
        <v>365</v>
      </c>
      <c r="C44" s="287" t="s">
        <v>1330</v>
      </c>
    </row>
    <row r="45" spans="1:3" x14ac:dyDescent="0.25">
      <c r="A45" s="305" t="s">
        <v>184</v>
      </c>
      <c r="B45" s="279" t="s">
        <v>366</v>
      </c>
      <c r="C45" s="287" t="s">
        <v>393</v>
      </c>
    </row>
    <row r="46" spans="1:3" x14ac:dyDescent="0.25">
      <c r="A46" s="305">
        <v>45</v>
      </c>
      <c r="B46" s="279" t="s">
        <v>37</v>
      </c>
      <c r="C46" s="287" t="s">
        <v>394</v>
      </c>
    </row>
    <row r="47" spans="1:3" ht="39.6" x14ac:dyDescent="0.25">
      <c r="A47" s="305">
        <v>46</v>
      </c>
      <c r="B47" s="279" t="s">
        <v>367</v>
      </c>
      <c r="C47" s="287" t="s">
        <v>1331</v>
      </c>
    </row>
    <row r="48" spans="1:3" ht="39.6" x14ac:dyDescent="0.25">
      <c r="A48" s="305">
        <v>47</v>
      </c>
      <c r="B48" s="279" t="s">
        <v>368</v>
      </c>
      <c r="C48" s="287" t="s">
        <v>395</v>
      </c>
    </row>
    <row r="49" spans="1:3" x14ac:dyDescent="0.25">
      <c r="A49" s="305" t="s">
        <v>185</v>
      </c>
      <c r="B49" s="279" t="s">
        <v>152</v>
      </c>
      <c r="C49" s="287" t="s">
        <v>396</v>
      </c>
    </row>
    <row r="50" spans="1:3" x14ac:dyDescent="0.25">
      <c r="A50" s="305">
        <v>52</v>
      </c>
      <c r="B50" s="279" t="s">
        <v>38</v>
      </c>
      <c r="C50" s="287" t="s">
        <v>397</v>
      </c>
    </row>
    <row r="51" spans="1:3" x14ac:dyDescent="0.25">
      <c r="A51" s="305">
        <v>53</v>
      </c>
      <c r="B51" s="279" t="s">
        <v>10</v>
      </c>
      <c r="C51" s="287" t="s">
        <v>398</v>
      </c>
    </row>
    <row r="52" spans="1:3" x14ac:dyDescent="0.25">
      <c r="A52" s="288"/>
      <c r="B52" s="91" t="s">
        <v>2</v>
      </c>
      <c r="C52" s="289"/>
    </row>
    <row r="53" spans="1:3" ht="26.4" x14ac:dyDescent="0.25">
      <c r="A53" s="305">
        <v>54</v>
      </c>
      <c r="B53" s="279" t="s">
        <v>369</v>
      </c>
      <c r="C53" s="287" t="s">
        <v>399</v>
      </c>
    </row>
    <row r="54" spans="1:3" x14ac:dyDescent="0.25">
      <c r="A54" s="305">
        <v>55</v>
      </c>
      <c r="B54" s="279" t="s">
        <v>370</v>
      </c>
      <c r="C54" s="287" t="s">
        <v>400</v>
      </c>
    </row>
    <row r="55" spans="1:3" ht="52.8" x14ac:dyDescent="0.25">
      <c r="A55" s="305">
        <v>56</v>
      </c>
      <c r="B55" s="279" t="s">
        <v>371</v>
      </c>
      <c r="C55" s="287" t="s">
        <v>401</v>
      </c>
    </row>
    <row r="56" spans="1:3" x14ac:dyDescent="0.25">
      <c r="A56" s="305">
        <v>57</v>
      </c>
      <c r="B56" s="279" t="s">
        <v>372</v>
      </c>
      <c r="C56" s="281" t="s">
        <v>504</v>
      </c>
    </row>
    <row r="57" spans="1:3" x14ac:dyDescent="0.25">
      <c r="A57" s="305" t="s">
        <v>186</v>
      </c>
      <c r="B57" s="279" t="s">
        <v>178</v>
      </c>
      <c r="C57" s="281" t="s">
        <v>505</v>
      </c>
    </row>
    <row r="58" spans="1:3" ht="26.4" x14ac:dyDescent="0.25">
      <c r="A58" s="305">
        <v>62</v>
      </c>
      <c r="B58" s="279" t="s">
        <v>373</v>
      </c>
      <c r="C58" s="287" t="s">
        <v>402</v>
      </c>
    </row>
    <row r="59" spans="1:3" ht="28.35" customHeight="1" x14ac:dyDescent="0.25">
      <c r="A59" s="307">
        <v>63</v>
      </c>
      <c r="B59" s="276" t="s">
        <v>39</v>
      </c>
      <c r="C59" s="714" t="s">
        <v>1414</v>
      </c>
    </row>
    <row r="60" spans="1:3" ht="28.35" customHeight="1" x14ac:dyDescent="0.25">
      <c r="A60" s="307">
        <v>64</v>
      </c>
      <c r="B60" s="276" t="s">
        <v>40</v>
      </c>
      <c r="C60" s="281" t="s">
        <v>506</v>
      </c>
    </row>
    <row r="61" spans="1:3" x14ac:dyDescent="0.25">
      <c r="A61" s="307">
        <v>65</v>
      </c>
      <c r="B61" s="276" t="s">
        <v>41</v>
      </c>
      <c r="C61" s="281" t="s">
        <v>507</v>
      </c>
    </row>
    <row r="62" spans="1:3" ht="27.6" customHeight="1" thickBot="1" x14ac:dyDescent="0.3">
      <c r="A62" s="308">
        <v>66</v>
      </c>
      <c r="B62" s="282" t="s">
        <v>42</v>
      </c>
      <c r="C62" s="283" t="s">
        <v>508</v>
      </c>
    </row>
    <row r="63" spans="1:3" ht="40.200000000000003" thickBot="1" x14ac:dyDescent="0.3">
      <c r="A63" s="90"/>
      <c r="B63" s="298" t="s">
        <v>541</v>
      </c>
      <c r="C63" s="583" t="s">
        <v>316</v>
      </c>
    </row>
    <row r="64" spans="1:3" x14ac:dyDescent="0.25">
      <c r="A64" s="288"/>
      <c r="B64" s="91" t="s">
        <v>72</v>
      </c>
      <c r="C64" s="740" t="s">
        <v>1450</v>
      </c>
    </row>
    <row r="65" spans="1:3" ht="26.4" x14ac:dyDescent="0.25">
      <c r="A65" s="305">
        <v>1</v>
      </c>
      <c r="B65" s="154" t="s">
        <v>211</v>
      </c>
      <c r="C65" s="155" t="s">
        <v>403</v>
      </c>
    </row>
    <row r="66" spans="1:3" ht="52.8" x14ac:dyDescent="0.25">
      <c r="A66" s="305">
        <v>2</v>
      </c>
      <c r="B66" s="154" t="s">
        <v>210</v>
      </c>
      <c r="C66" s="155" t="s">
        <v>1451</v>
      </c>
    </row>
    <row r="67" spans="1:3" ht="26.4" x14ac:dyDescent="0.25">
      <c r="A67" s="305">
        <v>3</v>
      </c>
      <c r="B67" s="154" t="s">
        <v>208</v>
      </c>
      <c r="C67" s="155" t="s">
        <v>404</v>
      </c>
    </row>
    <row r="68" spans="1:3" ht="26.4" x14ac:dyDescent="0.25">
      <c r="A68" s="305">
        <v>4</v>
      </c>
      <c r="B68" s="154" t="s">
        <v>209</v>
      </c>
      <c r="C68" s="155" t="s">
        <v>405</v>
      </c>
    </row>
    <row r="69" spans="1:3" x14ac:dyDescent="0.25">
      <c r="A69" s="305">
        <v>5</v>
      </c>
      <c r="B69" s="154" t="s">
        <v>44</v>
      </c>
      <c r="C69" s="155" t="s">
        <v>194</v>
      </c>
    </row>
    <row r="70" spans="1:3" ht="26.4" x14ac:dyDescent="0.25">
      <c r="A70" s="305">
        <v>6</v>
      </c>
      <c r="B70" s="154" t="s">
        <v>374</v>
      </c>
      <c r="C70" s="155" t="s">
        <v>406</v>
      </c>
    </row>
    <row r="71" spans="1:3" ht="26.4" x14ac:dyDescent="0.25">
      <c r="A71" s="305">
        <v>7</v>
      </c>
      <c r="B71" s="154" t="s">
        <v>139</v>
      </c>
      <c r="C71" s="286" t="s">
        <v>179</v>
      </c>
    </row>
    <row r="72" spans="1:3" x14ac:dyDescent="0.25">
      <c r="A72" s="305">
        <v>8</v>
      </c>
      <c r="B72" s="154" t="s">
        <v>137</v>
      </c>
      <c r="C72" s="286" t="s">
        <v>180</v>
      </c>
    </row>
    <row r="73" spans="1:3" ht="26.4" x14ac:dyDescent="0.25">
      <c r="A73" s="305">
        <v>9</v>
      </c>
      <c r="B73" s="154" t="s">
        <v>1308</v>
      </c>
      <c r="C73" s="657" t="s">
        <v>1309</v>
      </c>
    </row>
    <row r="74" spans="1:3" x14ac:dyDescent="0.25">
      <c r="A74" s="305">
        <v>10</v>
      </c>
      <c r="B74" s="154" t="s">
        <v>140</v>
      </c>
      <c r="C74" s="155" t="s">
        <v>181</v>
      </c>
    </row>
    <row r="75" spans="1:3" x14ac:dyDescent="0.25">
      <c r="A75" s="305">
        <v>11</v>
      </c>
      <c r="B75" s="154" t="s">
        <v>142</v>
      </c>
      <c r="C75" s="155" t="s">
        <v>195</v>
      </c>
    </row>
    <row r="76" spans="1:3" x14ac:dyDescent="0.25">
      <c r="A76" s="309">
        <v>12</v>
      </c>
      <c r="B76" s="154" t="s">
        <v>45</v>
      </c>
      <c r="C76" s="155" t="s">
        <v>196</v>
      </c>
    </row>
    <row r="77" spans="1:3" x14ac:dyDescent="0.25">
      <c r="A77" s="288"/>
      <c r="B77" s="93" t="s">
        <v>327</v>
      </c>
      <c r="C77" s="740" t="s">
        <v>1449</v>
      </c>
    </row>
    <row r="78" spans="1:3" x14ac:dyDescent="0.25">
      <c r="A78" s="302">
        <v>13</v>
      </c>
      <c r="B78" s="153" t="s">
        <v>281</v>
      </c>
      <c r="C78" s="155" t="s">
        <v>407</v>
      </c>
    </row>
    <row r="79" spans="1:3" x14ac:dyDescent="0.25">
      <c r="A79" s="307">
        <v>14</v>
      </c>
      <c r="B79" s="153" t="s">
        <v>282</v>
      </c>
      <c r="C79" s="155" t="s">
        <v>407</v>
      </c>
    </row>
    <row r="80" spans="1:3" x14ac:dyDescent="0.25">
      <c r="A80" s="307">
        <v>15</v>
      </c>
      <c r="B80" s="276" t="s">
        <v>283</v>
      </c>
      <c r="C80" s="155" t="s">
        <v>407</v>
      </c>
    </row>
    <row r="81" spans="1:3" x14ac:dyDescent="0.25">
      <c r="A81" s="307">
        <v>16</v>
      </c>
      <c r="B81" s="276" t="s">
        <v>284</v>
      </c>
      <c r="C81" s="155" t="s">
        <v>407</v>
      </c>
    </row>
    <row r="82" spans="1:3" x14ac:dyDescent="0.25">
      <c r="A82" s="307">
        <v>17</v>
      </c>
      <c r="B82" s="276" t="s">
        <v>234</v>
      </c>
      <c r="C82" s="155" t="s">
        <v>407</v>
      </c>
    </row>
    <row r="83" spans="1:3" x14ac:dyDescent="0.25">
      <c r="A83" s="307">
        <v>18</v>
      </c>
      <c r="B83" s="276" t="s">
        <v>236</v>
      </c>
      <c r="C83" s="311" t="s">
        <v>407</v>
      </c>
    </row>
    <row r="84" spans="1:3" x14ac:dyDescent="0.25">
      <c r="A84" s="307">
        <v>19</v>
      </c>
      <c r="B84" s="276" t="s">
        <v>201</v>
      </c>
      <c r="C84" s="311" t="s">
        <v>407</v>
      </c>
    </row>
    <row r="85" spans="1:3" x14ac:dyDescent="0.25">
      <c r="A85" s="307">
        <v>20</v>
      </c>
      <c r="B85" s="276" t="s">
        <v>239</v>
      </c>
      <c r="C85" s="311" t="s">
        <v>407</v>
      </c>
    </row>
    <row r="86" spans="1:3" x14ac:dyDescent="0.25">
      <c r="A86" s="307">
        <v>21</v>
      </c>
      <c r="B86" s="153" t="s">
        <v>1417</v>
      </c>
      <c r="C86" s="311" t="s">
        <v>407</v>
      </c>
    </row>
    <row r="87" spans="1:3" x14ac:dyDescent="0.25">
      <c r="A87" s="307">
        <v>22</v>
      </c>
      <c r="B87" s="153" t="s">
        <v>1348</v>
      </c>
      <c r="C87" s="311" t="s">
        <v>1362</v>
      </c>
    </row>
    <row r="88" spans="1:3" x14ac:dyDescent="0.25">
      <c r="A88" s="307">
        <v>23</v>
      </c>
      <c r="B88" s="153" t="s">
        <v>1349</v>
      </c>
      <c r="C88" s="311" t="s">
        <v>1356</v>
      </c>
    </row>
    <row r="89" spans="1:3" x14ac:dyDescent="0.25">
      <c r="A89" s="307">
        <v>24</v>
      </c>
      <c r="B89" s="153" t="s">
        <v>1350</v>
      </c>
      <c r="C89" s="311" t="s">
        <v>1362</v>
      </c>
    </row>
    <row r="90" spans="1:3" x14ac:dyDescent="0.25">
      <c r="A90" s="307">
        <v>25</v>
      </c>
      <c r="B90" s="153" t="s">
        <v>1351</v>
      </c>
      <c r="C90" s="311" t="s">
        <v>1356</v>
      </c>
    </row>
    <row r="91" spans="1:3" x14ac:dyDescent="0.25">
      <c r="A91" s="307">
        <v>26</v>
      </c>
      <c r="B91" s="276" t="s">
        <v>228</v>
      </c>
      <c r="C91" s="311" t="s">
        <v>407</v>
      </c>
    </row>
    <row r="92" spans="1:3" x14ac:dyDescent="0.25">
      <c r="A92" s="307">
        <v>27</v>
      </c>
      <c r="B92" s="276" t="s">
        <v>229</v>
      </c>
      <c r="C92" s="311" t="s">
        <v>407</v>
      </c>
    </row>
    <row r="93" spans="1:3" x14ac:dyDescent="0.25">
      <c r="A93" s="307">
        <v>28</v>
      </c>
      <c r="B93" s="276" t="s">
        <v>1457</v>
      </c>
      <c r="C93" s="311" t="s">
        <v>407</v>
      </c>
    </row>
    <row r="94" spans="1:3" x14ac:dyDescent="0.25">
      <c r="A94" s="307">
        <v>29</v>
      </c>
      <c r="B94" s="276" t="s">
        <v>463</v>
      </c>
      <c r="C94" s="311" t="s">
        <v>407</v>
      </c>
    </row>
    <row r="95" spans="1:3" x14ac:dyDescent="0.25">
      <c r="A95" s="307">
        <v>30</v>
      </c>
      <c r="B95" s="276" t="s">
        <v>1458</v>
      </c>
      <c r="C95" s="311" t="s">
        <v>407</v>
      </c>
    </row>
    <row r="96" spans="1:3" x14ac:dyDescent="0.25">
      <c r="A96" s="307">
        <v>31</v>
      </c>
      <c r="B96" s="276" t="s">
        <v>430</v>
      </c>
      <c r="C96" s="311" t="s">
        <v>407</v>
      </c>
    </row>
    <row r="97" spans="1:3" x14ac:dyDescent="0.25">
      <c r="A97" s="307">
        <v>32</v>
      </c>
      <c r="B97" s="276" t="s">
        <v>453</v>
      </c>
      <c r="C97" s="311" t="s">
        <v>407</v>
      </c>
    </row>
    <row r="98" spans="1:3" x14ac:dyDescent="0.25">
      <c r="A98" s="307">
        <v>33</v>
      </c>
      <c r="B98" s="276" t="s">
        <v>1459</v>
      </c>
      <c r="C98" s="311" t="s">
        <v>407</v>
      </c>
    </row>
    <row r="99" spans="1:3" x14ac:dyDescent="0.25">
      <c r="A99" s="307">
        <v>34</v>
      </c>
      <c r="B99" s="276" t="s">
        <v>285</v>
      </c>
      <c r="C99" s="311" t="s">
        <v>407</v>
      </c>
    </row>
    <row r="100" spans="1:3" x14ac:dyDescent="0.25">
      <c r="A100" s="307">
        <v>35</v>
      </c>
      <c r="B100" s="276" t="s">
        <v>240</v>
      </c>
      <c r="C100" s="311" t="s">
        <v>407</v>
      </c>
    </row>
    <row r="101" spans="1:3" x14ac:dyDescent="0.25">
      <c r="A101" s="307">
        <v>36</v>
      </c>
      <c r="B101" s="276" t="s">
        <v>230</v>
      </c>
      <c r="C101" s="311" t="s">
        <v>407</v>
      </c>
    </row>
    <row r="102" spans="1:3" x14ac:dyDescent="0.25">
      <c r="A102" s="307">
        <v>37</v>
      </c>
      <c r="B102" s="276" t="s">
        <v>231</v>
      </c>
      <c r="C102" s="311" t="s">
        <v>407</v>
      </c>
    </row>
    <row r="103" spans="1:3" x14ac:dyDescent="0.25">
      <c r="A103" s="727">
        <v>38</v>
      </c>
      <c r="B103" s="728" t="s">
        <v>1510</v>
      </c>
      <c r="C103" s="729" t="s">
        <v>407</v>
      </c>
    </row>
    <row r="104" spans="1:3" x14ac:dyDescent="0.25">
      <c r="A104" s="727">
        <v>39</v>
      </c>
      <c r="B104" s="728" t="s">
        <v>286</v>
      </c>
      <c r="C104" s="729" t="s">
        <v>407</v>
      </c>
    </row>
    <row r="105" spans="1:3" ht="26.4" x14ac:dyDescent="0.25">
      <c r="A105" s="727">
        <v>40</v>
      </c>
      <c r="B105" s="728" t="s">
        <v>317</v>
      </c>
      <c r="C105" s="729" t="s">
        <v>328</v>
      </c>
    </row>
    <row r="106" spans="1:3" ht="26.4" x14ac:dyDescent="0.25">
      <c r="A106" s="727">
        <v>41</v>
      </c>
      <c r="B106" s="728" t="s">
        <v>242</v>
      </c>
      <c r="C106" s="729" t="s">
        <v>1423</v>
      </c>
    </row>
    <row r="107" spans="1:3" ht="26.4" x14ac:dyDescent="0.25">
      <c r="A107" s="727">
        <v>42</v>
      </c>
      <c r="B107" s="728" t="s">
        <v>1447</v>
      </c>
      <c r="C107" s="155" t="s">
        <v>1448</v>
      </c>
    </row>
    <row r="108" spans="1:3" x14ac:dyDescent="0.25">
      <c r="A108" s="727">
        <v>43</v>
      </c>
      <c r="B108" s="728" t="s">
        <v>420</v>
      </c>
      <c r="C108" s="729" t="s">
        <v>1467</v>
      </c>
    </row>
    <row r="109" spans="1:3" x14ac:dyDescent="0.25">
      <c r="A109" s="288"/>
      <c r="B109" s="91" t="s">
        <v>314</v>
      </c>
      <c r="C109" s="289"/>
    </row>
    <row r="110" spans="1:3" x14ac:dyDescent="0.25">
      <c r="A110" s="727">
        <v>44</v>
      </c>
      <c r="B110" s="153" t="s">
        <v>241</v>
      </c>
      <c r="C110" s="311" t="s">
        <v>329</v>
      </c>
    </row>
    <row r="111" spans="1:3" ht="26.4" x14ac:dyDescent="0.25">
      <c r="A111" s="727">
        <v>45</v>
      </c>
      <c r="B111" s="153" t="s">
        <v>318</v>
      </c>
      <c r="C111" s="311" t="s">
        <v>1468</v>
      </c>
    </row>
    <row r="112" spans="1:3" ht="26.4" x14ac:dyDescent="0.25">
      <c r="A112" s="307">
        <v>46</v>
      </c>
      <c r="B112" s="153" t="s">
        <v>231</v>
      </c>
      <c r="C112" s="311" t="s">
        <v>315</v>
      </c>
    </row>
    <row r="113" spans="1:3" ht="39.6" x14ac:dyDescent="0.25">
      <c r="A113" s="302">
        <v>47</v>
      </c>
      <c r="B113" s="153" t="s">
        <v>421</v>
      </c>
      <c r="C113" s="311" t="s">
        <v>1469</v>
      </c>
    </row>
    <row r="114" spans="1:3" x14ac:dyDescent="0.25">
      <c r="A114" s="288"/>
      <c r="B114" s="91" t="s">
        <v>422</v>
      </c>
      <c r="C114" s="289"/>
    </row>
    <row r="115" spans="1:3" ht="39.6" x14ac:dyDescent="0.25">
      <c r="A115" s="727">
        <v>48</v>
      </c>
      <c r="B115" s="153" t="s">
        <v>258</v>
      </c>
      <c r="C115" s="311" t="s">
        <v>182</v>
      </c>
    </row>
    <row r="116" spans="1:3" ht="52.8" x14ac:dyDescent="0.25">
      <c r="A116" s="727">
        <v>49</v>
      </c>
      <c r="B116" s="153" t="s">
        <v>330</v>
      </c>
      <c r="C116" s="311" t="s">
        <v>183</v>
      </c>
    </row>
    <row r="117" spans="1:3" x14ac:dyDescent="0.25">
      <c r="A117" s="727">
        <v>50</v>
      </c>
      <c r="B117" s="153" t="s">
        <v>1332</v>
      </c>
      <c r="C117" s="311" t="s">
        <v>331</v>
      </c>
    </row>
    <row r="118" spans="1:3" ht="52.8" x14ac:dyDescent="0.25">
      <c r="A118" s="727">
        <v>51</v>
      </c>
      <c r="B118" s="153" t="s">
        <v>332</v>
      </c>
      <c r="C118" s="311" t="s">
        <v>418</v>
      </c>
    </row>
    <row r="119" spans="1:3" ht="39.6" x14ac:dyDescent="0.25">
      <c r="A119" s="727">
        <v>52</v>
      </c>
      <c r="B119" s="153" t="s">
        <v>141</v>
      </c>
      <c r="C119" s="311" t="s">
        <v>408</v>
      </c>
    </row>
    <row r="120" spans="1:3" ht="52.8" x14ac:dyDescent="0.25">
      <c r="A120" s="727">
        <v>53</v>
      </c>
      <c r="B120" s="153" t="s">
        <v>257</v>
      </c>
      <c r="C120" s="311" t="s">
        <v>419</v>
      </c>
    </row>
    <row r="121" spans="1:3" ht="26.4" x14ac:dyDescent="0.25">
      <c r="A121" s="727">
        <v>54</v>
      </c>
      <c r="B121" s="153" t="s">
        <v>333</v>
      </c>
      <c r="C121" s="311" t="s">
        <v>1496</v>
      </c>
    </row>
    <row r="122" spans="1:3" x14ac:dyDescent="0.25">
      <c r="A122" s="727">
        <v>55</v>
      </c>
      <c r="B122" s="153" t="s">
        <v>319</v>
      </c>
      <c r="C122" s="311" t="s">
        <v>409</v>
      </c>
    </row>
    <row r="123" spans="1:3" x14ac:dyDescent="0.25">
      <c r="A123" s="727">
        <v>56</v>
      </c>
      <c r="B123" s="153" t="s">
        <v>320</v>
      </c>
      <c r="C123" s="311" t="s">
        <v>334</v>
      </c>
    </row>
    <row r="124" spans="1:3" x14ac:dyDescent="0.25">
      <c r="A124" s="727">
        <v>57</v>
      </c>
      <c r="B124" s="153" t="s">
        <v>335</v>
      </c>
      <c r="C124" s="311" t="s">
        <v>336</v>
      </c>
    </row>
    <row r="125" spans="1:3" ht="39.6" x14ac:dyDescent="0.25">
      <c r="A125" s="727">
        <v>58</v>
      </c>
      <c r="B125" s="153" t="s">
        <v>337</v>
      </c>
      <c r="C125" s="311" t="s">
        <v>1470</v>
      </c>
    </row>
    <row r="126" spans="1:3" x14ac:dyDescent="0.25">
      <c r="A126" s="727">
        <v>59</v>
      </c>
      <c r="B126" s="153" t="s">
        <v>423</v>
      </c>
      <c r="C126" s="311" t="s">
        <v>1471</v>
      </c>
    </row>
    <row r="127" spans="1:3" ht="39.6" x14ac:dyDescent="0.25">
      <c r="A127" s="727">
        <v>60</v>
      </c>
      <c r="B127" s="153" t="s">
        <v>46</v>
      </c>
      <c r="C127" s="311" t="s">
        <v>1472</v>
      </c>
    </row>
    <row r="128" spans="1:3" x14ac:dyDescent="0.25">
      <c r="A128" s="727">
        <v>61</v>
      </c>
      <c r="B128" s="157" t="s">
        <v>47</v>
      </c>
      <c r="C128" s="762" t="s">
        <v>1473</v>
      </c>
    </row>
    <row r="129" spans="1:3" ht="26.4" x14ac:dyDescent="0.25">
      <c r="A129" s="727">
        <v>62</v>
      </c>
      <c r="B129" s="153" t="s">
        <v>48</v>
      </c>
      <c r="C129" s="311" t="s">
        <v>1474</v>
      </c>
    </row>
    <row r="130" spans="1:3" ht="39.6" x14ac:dyDescent="0.25">
      <c r="A130" s="727">
        <v>63</v>
      </c>
      <c r="B130" s="153" t="s">
        <v>1446</v>
      </c>
      <c r="C130" s="311" t="s">
        <v>1497</v>
      </c>
    </row>
    <row r="131" spans="1:3" ht="26.4" x14ac:dyDescent="0.25">
      <c r="A131" s="727">
        <v>64</v>
      </c>
      <c r="B131" s="148" t="s">
        <v>1529</v>
      </c>
      <c r="C131" s="311" t="s">
        <v>1539</v>
      </c>
    </row>
    <row r="132" spans="1:3" ht="27" thickBot="1" x14ac:dyDescent="0.3">
      <c r="A132" s="727">
        <v>65</v>
      </c>
      <c r="B132" s="153" t="s">
        <v>49</v>
      </c>
      <c r="C132" s="311" t="s">
        <v>1492</v>
      </c>
    </row>
    <row r="133" spans="1:3" ht="40.200000000000003" thickBot="1" x14ac:dyDescent="0.3">
      <c r="A133" s="90"/>
      <c r="B133" s="295" t="s">
        <v>546</v>
      </c>
      <c r="C133" s="296" t="s">
        <v>594</v>
      </c>
    </row>
    <row r="134" spans="1:3" ht="26.4" x14ac:dyDescent="0.25">
      <c r="A134" s="591" t="s">
        <v>547</v>
      </c>
      <c r="B134" s="592" t="s">
        <v>548</v>
      </c>
      <c r="C134" s="593" t="s">
        <v>1500</v>
      </c>
    </row>
    <row r="135" spans="1:3" ht="118.8" x14ac:dyDescent="0.25">
      <c r="A135" s="594" t="s">
        <v>549</v>
      </c>
      <c r="B135" s="595" t="s">
        <v>550</v>
      </c>
      <c r="C135" s="281" t="s">
        <v>551</v>
      </c>
    </row>
    <row r="136" spans="1:3" ht="116.1" customHeight="1" x14ac:dyDescent="0.25">
      <c r="A136" s="594" t="s">
        <v>552</v>
      </c>
      <c r="B136" s="595" t="s">
        <v>553</v>
      </c>
      <c r="C136" s="596" t="s">
        <v>1493</v>
      </c>
    </row>
    <row r="137" spans="1:3" ht="26.4" x14ac:dyDescent="0.25">
      <c r="A137" s="594" t="s">
        <v>554</v>
      </c>
      <c r="B137" s="595" t="s">
        <v>555</v>
      </c>
      <c r="C137" s="281" t="s">
        <v>556</v>
      </c>
    </row>
    <row r="138" spans="1:3" ht="52.8" x14ac:dyDescent="0.25">
      <c r="A138" s="594" t="s">
        <v>557</v>
      </c>
      <c r="B138" s="595" t="s">
        <v>558</v>
      </c>
      <c r="C138" s="764" t="s">
        <v>1499</v>
      </c>
    </row>
    <row r="139" spans="1:3" ht="52.8" x14ac:dyDescent="0.25">
      <c r="A139" s="594" t="s">
        <v>559</v>
      </c>
      <c r="B139" s="595" t="s">
        <v>560</v>
      </c>
      <c r="C139" s="281" t="s">
        <v>561</v>
      </c>
    </row>
    <row r="140" spans="1:3" ht="52.8" x14ac:dyDescent="0.25">
      <c r="A140" s="594" t="s">
        <v>562</v>
      </c>
      <c r="B140" s="595" t="s">
        <v>563</v>
      </c>
      <c r="C140" s="281" t="s">
        <v>564</v>
      </c>
    </row>
    <row r="141" spans="1:3" ht="26.4" x14ac:dyDescent="0.25">
      <c r="A141" s="594" t="s">
        <v>565</v>
      </c>
      <c r="B141" s="595" t="s">
        <v>566</v>
      </c>
      <c r="C141" s="281" t="s">
        <v>567</v>
      </c>
    </row>
    <row r="142" spans="1:3" ht="39.6" x14ac:dyDescent="0.25">
      <c r="A142" s="594" t="s">
        <v>568</v>
      </c>
      <c r="B142" s="595" t="s">
        <v>569</v>
      </c>
      <c r="C142" s="281" t="s">
        <v>570</v>
      </c>
    </row>
    <row r="143" spans="1:3" ht="39.6" x14ac:dyDescent="0.25">
      <c r="A143" s="594" t="s">
        <v>571</v>
      </c>
      <c r="B143" s="595" t="s">
        <v>572</v>
      </c>
      <c r="C143" s="281" t="s">
        <v>573</v>
      </c>
    </row>
    <row r="144" spans="1:3" x14ac:dyDescent="0.25">
      <c r="A144" s="594" t="s">
        <v>574</v>
      </c>
      <c r="B144" s="595" t="s">
        <v>575</v>
      </c>
      <c r="C144" s="281" t="s">
        <v>576</v>
      </c>
    </row>
    <row r="145" spans="1:3" ht="39.6" x14ac:dyDescent="0.25">
      <c r="A145" s="594" t="s">
        <v>577</v>
      </c>
      <c r="B145" s="595" t="s">
        <v>578</v>
      </c>
      <c r="C145" s="281" t="s">
        <v>579</v>
      </c>
    </row>
    <row r="146" spans="1:3" x14ac:dyDescent="0.25">
      <c r="A146" s="594" t="s">
        <v>580</v>
      </c>
      <c r="B146" s="595" t="s">
        <v>581</v>
      </c>
      <c r="C146" s="281" t="s">
        <v>582</v>
      </c>
    </row>
    <row r="147" spans="1:3" ht="26.4" x14ac:dyDescent="0.25">
      <c r="A147" s="594" t="s">
        <v>583</v>
      </c>
      <c r="B147" s="595" t="s">
        <v>584</v>
      </c>
      <c r="C147" s="281" t="s">
        <v>1498</v>
      </c>
    </row>
    <row r="148" spans="1:3" ht="26.4" x14ac:dyDescent="0.25">
      <c r="A148" s="594" t="s">
        <v>585</v>
      </c>
      <c r="B148" s="595" t="s">
        <v>1337</v>
      </c>
      <c r="C148" s="281" t="s">
        <v>586</v>
      </c>
    </row>
    <row r="149" spans="1:3" ht="39.6" x14ac:dyDescent="0.25">
      <c r="A149" s="594" t="s">
        <v>587</v>
      </c>
      <c r="B149" s="595" t="s">
        <v>588</v>
      </c>
      <c r="C149" s="281" t="s">
        <v>1475</v>
      </c>
    </row>
    <row r="150" spans="1:3" ht="26.4" x14ac:dyDescent="0.25">
      <c r="A150" s="594" t="s">
        <v>589</v>
      </c>
      <c r="B150" s="595" t="s">
        <v>590</v>
      </c>
      <c r="C150" s="281" t="s">
        <v>591</v>
      </c>
    </row>
    <row r="151" spans="1:3" ht="40.200000000000003" thickBot="1" x14ac:dyDescent="0.3">
      <c r="A151" s="594" t="s">
        <v>592</v>
      </c>
      <c r="B151" s="681" t="s">
        <v>1338</v>
      </c>
      <c r="C151" s="283" t="s">
        <v>593</v>
      </c>
    </row>
    <row r="152" spans="1:3" ht="13.8" thickBot="1" x14ac:dyDescent="0.3">
      <c r="A152" s="90"/>
      <c r="B152" s="295" t="s">
        <v>595</v>
      </c>
      <c r="C152" s="296" t="s">
        <v>410</v>
      </c>
    </row>
    <row r="153" spans="1:3" ht="28.05" customHeight="1" thickBot="1" x14ac:dyDescent="0.3">
      <c r="A153" s="90"/>
      <c r="B153" s="295" t="s">
        <v>596</v>
      </c>
      <c r="C153" s="739" t="s">
        <v>1501</v>
      </c>
    </row>
    <row r="154" spans="1:3" x14ac:dyDescent="0.25">
      <c r="A154" s="288"/>
      <c r="B154" s="91" t="s">
        <v>253</v>
      </c>
      <c r="C154" s="299"/>
    </row>
    <row r="155" spans="1:3" x14ac:dyDescent="0.25">
      <c r="A155" s="305"/>
      <c r="B155" s="154" t="s">
        <v>254</v>
      </c>
      <c r="C155" s="155" t="s">
        <v>411</v>
      </c>
    </row>
    <row r="156" spans="1:3" ht="52.8" x14ac:dyDescent="0.25">
      <c r="A156" s="305"/>
      <c r="B156" s="154" t="s">
        <v>1429</v>
      </c>
      <c r="C156" s="155" t="s">
        <v>1432</v>
      </c>
    </row>
    <row r="157" spans="1:3" x14ac:dyDescent="0.25">
      <c r="A157" s="305"/>
      <c r="B157" s="154" t="s">
        <v>1427</v>
      </c>
      <c r="C157" s="155" t="s">
        <v>1434</v>
      </c>
    </row>
    <row r="158" spans="1:3" x14ac:dyDescent="0.25">
      <c r="A158" s="305"/>
      <c r="B158" s="154" t="s">
        <v>255</v>
      </c>
      <c r="C158" s="155" t="s">
        <v>412</v>
      </c>
    </row>
    <row r="159" spans="1:3" ht="52.8" x14ac:dyDescent="0.25">
      <c r="A159" s="305"/>
      <c r="B159" s="154" t="s">
        <v>1430</v>
      </c>
      <c r="C159" s="155" t="s">
        <v>1433</v>
      </c>
    </row>
    <row r="160" spans="1:3" x14ac:dyDescent="0.25">
      <c r="A160" s="305"/>
      <c r="B160" s="154" t="s">
        <v>1428</v>
      </c>
      <c r="C160" s="155" t="s">
        <v>1435</v>
      </c>
    </row>
    <row r="161" spans="1:3" x14ac:dyDescent="0.25">
      <c r="A161" s="305"/>
      <c r="B161" s="154" t="s">
        <v>248</v>
      </c>
      <c r="C161" s="155" t="s">
        <v>1436</v>
      </c>
    </row>
    <row r="162" spans="1:3" ht="39.6" x14ac:dyDescent="0.25">
      <c r="A162" s="305"/>
      <c r="B162" s="154" t="s">
        <v>244</v>
      </c>
      <c r="C162" s="155" t="s">
        <v>413</v>
      </c>
    </row>
    <row r="163" spans="1:3" ht="26.4" x14ac:dyDescent="0.25">
      <c r="A163" s="305"/>
      <c r="B163" s="154" t="s">
        <v>251</v>
      </c>
      <c r="C163" s="155" t="s">
        <v>414</v>
      </c>
    </row>
    <row r="164" spans="1:3" x14ac:dyDescent="0.25">
      <c r="A164" s="305"/>
      <c r="B164" s="154" t="s">
        <v>256</v>
      </c>
      <c r="C164" s="155" t="s">
        <v>415</v>
      </c>
    </row>
    <row r="165" spans="1:3" ht="26.4" x14ac:dyDescent="0.25">
      <c r="A165" s="305"/>
      <c r="B165" s="154" t="s">
        <v>1452</v>
      </c>
      <c r="C165" s="155" t="s">
        <v>1455</v>
      </c>
    </row>
    <row r="166" spans="1:3" ht="39.6" x14ac:dyDescent="0.25">
      <c r="A166" s="305"/>
      <c r="B166" s="154" t="s">
        <v>1454</v>
      </c>
      <c r="C166" s="155" t="s">
        <v>1456</v>
      </c>
    </row>
    <row r="167" spans="1:3" x14ac:dyDescent="0.25">
      <c r="A167" s="305"/>
      <c r="B167" s="154" t="s">
        <v>250</v>
      </c>
      <c r="C167" s="155" t="s">
        <v>1494</v>
      </c>
    </row>
    <row r="168" spans="1:3" x14ac:dyDescent="0.25">
      <c r="A168" s="288"/>
      <c r="B168" s="93" t="s">
        <v>246</v>
      </c>
      <c r="C168" s="310"/>
    </row>
    <row r="169" spans="1:3" x14ac:dyDescent="0.25">
      <c r="A169" s="304">
        <v>1</v>
      </c>
      <c r="B169" s="154" t="s">
        <v>281</v>
      </c>
      <c r="C169" s="155" t="s">
        <v>407</v>
      </c>
    </row>
    <row r="170" spans="1:3" x14ac:dyDescent="0.25">
      <c r="A170" s="305">
        <v>2</v>
      </c>
      <c r="B170" s="154" t="s">
        <v>282</v>
      </c>
      <c r="C170" s="155" t="s">
        <v>407</v>
      </c>
    </row>
    <row r="171" spans="1:3" x14ac:dyDescent="0.25">
      <c r="A171" s="305">
        <v>3</v>
      </c>
      <c r="B171" s="279" t="s">
        <v>283</v>
      </c>
      <c r="C171" s="155" t="s">
        <v>407</v>
      </c>
    </row>
    <row r="172" spans="1:3" x14ac:dyDescent="0.25">
      <c r="A172" s="304">
        <v>4</v>
      </c>
      <c r="B172" s="279" t="s">
        <v>284</v>
      </c>
      <c r="C172" s="155" t="s">
        <v>407</v>
      </c>
    </row>
    <row r="173" spans="1:3" x14ac:dyDescent="0.25">
      <c r="A173" s="305">
        <v>5</v>
      </c>
      <c r="B173" s="279" t="s">
        <v>234</v>
      </c>
      <c r="C173" s="155" t="s">
        <v>407</v>
      </c>
    </row>
    <row r="174" spans="1:3" x14ac:dyDescent="0.25">
      <c r="A174" s="305">
        <v>6</v>
      </c>
      <c r="B174" s="279" t="s">
        <v>236</v>
      </c>
      <c r="C174" s="155" t="s">
        <v>407</v>
      </c>
    </row>
    <row r="175" spans="1:3" x14ac:dyDescent="0.25">
      <c r="A175" s="304">
        <v>7</v>
      </c>
      <c r="B175" s="279" t="s">
        <v>201</v>
      </c>
      <c r="C175" s="155" t="s">
        <v>407</v>
      </c>
    </row>
    <row r="176" spans="1:3" x14ac:dyDescent="0.25">
      <c r="A176" s="305">
        <v>8</v>
      </c>
      <c r="B176" s="279" t="s">
        <v>239</v>
      </c>
      <c r="C176" s="155" t="s">
        <v>407</v>
      </c>
    </row>
    <row r="177" spans="1:3" x14ac:dyDescent="0.25">
      <c r="A177" s="307">
        <v>9</v>
      </c>
      <c r="B177" s="153" t="s">
        <v>1417</v>
      </c>
      <c r="C177" s="311" t="s">
        <v>407</v>
      </c>
    </row>
    <row r="178" spans="1:3" x14ac:dyDescent="0.25">
      <c r="A178" s="307" t="s">
        <v>1357</v>
      </c>
      <c r="B178" s="153" t="s">
        <v>1348</v>
      </c>
      <c r="C178" s="311" t="s">
        <v>407</v>
      </c>
    </row>
    <row r="179" spans="1:3" x14ac:dyDescent="0.25">
      <c r="A179" s="307" t="s">
        <v>1358</v>
      </c>
      <c r="B179" s="153" t="s">
        <v>1349</v>
      </c>
      <c r="C179" s="311" t="s">
        <v>407</v>
      </c>
    </row>
    <row r="180" spans="1:3" x14ac:dyDescent="0.25">
      <c r="A180" s="307" t="s">
        <v>1359</v>
      </c>
      <c r="B180" s="153" t="s">
        <v>1350</v>
      </c>
      <c r="C180" s="311" t="s">
        <v>407</v>
      </c>
    </row>
    <row r="181" spans="1:3" x14ac:dyDescent="0.25">
      <c r="A181" s="302" t="s">
        <v>1360</v>
      </c>
      <c r="B181" s="153" t="s">
        <v>1351</v>
      </c>
      <c r="C181" s="311" t="s">
        <v>407</v>
      </c>
    </row>
    <row r="182" spans="1:3" x14ac:dyDescent="0.25">
      <c r="A182" s="302">
        <v>12</v>
      </c>
      <c r="B182" s="154" t="s">
        <v>228</v>
      </c>
      <c r="C182" s="155" t="s">
        <v>407</v>
      </c>
    </row>
    <row r="183" spans="1:3" x14ac:dyDescent="0.25">
      <c r="A183" s="307">
        <v>13</v>
      </c>
      <c r="B183" s="279" t="s">
        <v>229</v>
      </c>
      <c r="C183" s="155" t="s">
        <v>407</v>
      </c>
    </row>
    <row r="184" spans="1:3" x14ac:dyDescent="0.25">
      <c r="A184" s="307">
        <v>14</v>
      </c>
      <c r="B184" s="276" t="s">
        <v>1457</v>
      </c>
      <c r="C184" s="311" t="s">
        <v>407</v>
      </c>
    </row>
    <row r="185" spans="1:3" x14ac:dyDescent="0.25">
      <c r="A185" s="302">
        <v>15</v>
      </c>
      <c r="B185" s="276" t="s">
        <v>463</v>
      </c>
      <c r="C185" s="311" t="s">
        <v>407</v>
      </c>
    </row>
    <row r="186" spans="1:3" x14ac:dyDescent="0.25">
      <c r="A186" s="302">
        <v>16</v>
      </c>
      <c r="B186" s="276" t="s">
        <v>1458</v>
      </c>
      <c r="C186" s="311" t="s">
        <v>407</v>
      </c>
    </row>
    <row r="187" spans="1:3" x14ac:dyDescent="0.25">
      <c r="A187" s="302">
        <v>17</v>
      </c>
      <c r="B187" s="276" t="s">
        <v>430</v>
      </c>
      <c r="C187" s="311" t="s">
        <v>407</v>
      </c>
    </row>
    <row r="188" spans="1:3" x14ac:dyDescent="0.25">
      <c r="A188" s="302">
        <v>18</v>
      </c>
      <c r="B188" s="276" t="s">
        <v>453</v>
      </c>
      <c r="C188" s="311" t="s">
        <v>407</v>
      </c>
    </row>
    <row r="189" spans="1:3" x14ac:dyDescent="0.25">
      <c r="A189" s="302">
        <v>19</v>
      </c>
      <c r="B189" s="276" t="s">
        <v>1459</v>
      </c>
      <c r="C189" s="311" t="s">
        <v>407</v>
      </c>
    </row>
    <row r="190" spans="1:3" x14ac:dyDescent="0.25">
      <c r="A190" s="307">
        <v>20</v>
      </c>
      <c r="B190" s="279" t="s">
        <v>285</v>
      </c>
      <c r="C190" s="155" t="s">
        <v>407</v>
      </c>
    </row>
    <row r="191" spans="1:3" x14ac:dyDescent="0.25">
      <c r="A191" s="307">
        <v>21</v>
      </c>
      <c r="B191" s="279" t="s">
        <v>240</v>
      </c>
      <c r="C191" s="155" t="s">
        <v>407</v>
      </c>
    </row>
    <row r="192" spans="1:3" x14ac:dyDescent="0.25">
      <c r="A192" s="302">
        <v>22</v>
      </c>
      <c r="B192" s="279" t="s">
        <v>230</v>
      </c>
      <c r="C192" s="155" t="s">
        <v>407</v>
      </c>
    </row>
    <row r="193" spans="1:3" x14ac:dyDescent="0.25">
      <c r="A193" s="307">
        <v>23</v>
      </c>
      <c r="B193" s="279" t="s">
        <v>231</v>
      </c>
      <c r="C193" s="155" t="s">
        <v>407</v>
      </c>
    </row>
    <row r="194" spans="1:3" x14ac:dyDescent="0.25">
      <c r="A194" s="307">
        <v>24</v>
      </c>
      <c r="B194" s="154" t="s">
        <v>1508</v>
      </c>
      <c r="C194" s="155" t="s">
        <v>407</v>
      </c>
    </row>
    <row r="195" spans="1:3" x14ac:dyDescent="0.25">
      <c r="A195" s="307">
        <v>25</v>
      </c>
      <c r="B195" s="279" t="s">
        <v>286</v>
      </c>
      <c r="C195" s="155" t="s">
        <v>407</v>
      </c>
    </row>
    <row r="196" spans="1:3" x14ac:dyDescent="0.25">
      <c r="A196" s="307">
        <v>26</v>
      </c>
      <c r="B196" s="154" t="s">
        <v>205</v>
      </c>
      <c r="C196" s="311" t="s">
        <v>1502</v>
      </c>
    </row>
    <row r="197" spans="1:3" x14ac:dyDescent="0.25">
      <c r="A197" s="307">
        <v>27</v>
      </c>
      <c r="B197" s="154" t="s">
        <v>201</v>
      </c>
      <c r="C197" s="155" t="s">
        <v>1503</v>
      </c>
    </row>
    <row r="198" spans="1:3" ht="26.4" x14ac:dyDescent="0.25">
      <c r="A198" s="307">
        <v>28</v>
      </c>
      <c r="B198" s="154" t="s">
        <v>204</v>
      </c>
      <c r="C198" s="155" t="s">
        <v>1504</v>
      </c>
    </row>
    <row r="199" spans="1:3" x14ac:dyDescent="0.25">
      <c r="A199" s="302">
        <v>29</v>
      </c>
      <c r="B199" s="279" t="s">
        <v>375</v>
      </c>
      <c r="C199" s="155" t="s">
        <v>1505</v>
      </c>
    </row>
    <row r="200" spans="1:3" ht="28.35" customHeight="1" x14ac:dyDescent="0.25">
      <c r="A200" s="307">
        <v>30</v>
      </c>
      <c r="B200" s="279" t="s">
        <v>202</v>
      </c>
      <c r="C200" s="155" t="s">
        <v>1506</v>
      </c>
    </row>
    <row r="201" spans="1:3" x14ac:dyDescent="0.25">
      <c r="A201" s="302">
        <v>31</v>
      </c>
      <c r="B201" s="279" t="s">
        <v>203</v>
      </c>
      <c r="C201" s="155" t="s">
        <v>1507</v>
      </c>
    </row>
    <row r="202" spans="1:3" ht="13.8" thickBot="1" x14ac:dyDescent="0.3">
      <c r="A202" s="308">
        <v>32</v>
      </c>
      <c r="B202" s="290" t="s">
        <v>159</v>
      </c>
      <c r="C202" s="312" t="s">
        <v>1368</v>
      </c>
    </row>
    <row r="203" spans="1:3" ht="225" thickBot="1" x14ac:dyDescent="0.3">
      <c r="A203" s="90"/>
      <c r="B203" s="295" t="s">
        <v>597</v>
      </c>
      <c r="C203" s="296" t="s">
        <v>1333</v>
      </c>
    </row>
    <row r="204" spans="1:3" ht="27" thickBot="1" x14ac:dyDescent="0.3">
      <c r="A204" s="90"/>
      <c r="B204" s="295" t="s">
        <v>598</v>
      </c>
      <c r="C204" s="296" t="s">
        <v>416</v>
      </c>
    </row>
    <row r="205" spans="1:3" ht="27" thickBot="1" x14ac:dyDescent="0.3">
      <c r="A205" s="90"/>
      <c r="B205" s="295" t="s">
        <v>599</v>
      </c>
      <c r="C205" s="296" t="s">
        <v>247</v>
      </c>
    </row>
    <row r="206" spans="1:3" ht="75" customHeight="1" thickBot="1" x14ac:dyDescent="0.3">
      <c r="A206" s="517"/>
      <c r="B206" s="518" t="s">
        <v>1438</v>
      </c>
      <c r="C206" s="520" t="s">
        <v>1439</v>
      </c>
    </row>
    <row r="207" spans="1:3" ht="53.4" thickBot="1" x14ac:dyDescent="0.3">
      <c r="A207" s="517"/>
      <c r="B207" s="519" t="s">
        <v>601</v>
      </c>
      <c r="C207" s="521" t="s">
        <v>524</v>
      </c>
    </row>
    <row r="208" spans="1:3" ht="40.200000000000003" thickBot="1" x14ac:dyDescent="0.3">
      <c r="A208" s="90"/>
      <c r="B208" s="295" t="s">
        <v>600</v>
      </c>
      <c r="C208" s="296" t="s">
        <v>245</v>
      </c>
    </row>
    <row r="209" spans="1:3" ht="13.8" thickBot="1" x14ac:dyDescent="0.3">
      <c r="A209" s="90"/>
      <c r="B209" s="295" t="s">
        <v>93</v>
      </c>
      <c r="C209" s="296" t="s">
        <v>163</v>
      </c>
    </row>
    <row r="210" spans="1:3" x14ac:dyDescent="0.25">
      <c r="A210" s="297"/>
      <c r="C210" s="300"/>
    </row>
    <row r="211" spans="1:3" x14ac:dyDescent="0.25">
      <c r="A211" s="297"/>
      <c r="C211" s="300"/>
    </row>
    <row r="212" spans="1:3" x14ac:dyDescent="0.25">
      <c r="A212" s="297"/>
      <c r="C212" s="300"/>
    </row>
    <row r="213" spans="1:3" x14ac:dyDescent="0.25">
      <c r="A213" s="297"/>
      <c r="C213" s="300"/>
    </row>
    <row r="214" spans="1:3" x14ac:dyDescent="0.25">
      <c r="A214" s="297"/>
      <c r="C214" s="300"/>
    </row>
  </sheetData>
  <sheetProtection algorithmName="SHA-512" hashValue="w6ckiHNaXWMtWC5XxUVQoyH5qSiXgSoi5lNWUGpPJ3I2Ampzt75xzUV344CW2J9V9erocqlX8J0xy9HXt6ue6w==" saltValue="4FnNeTVOX+IxqVQl0oVcQw==" spinCount="100000" sheet="1" formatColumns="0" formatRows="0"/>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24"/>
  <sheetViews>
    <sheetView zoomScale="60" zoomScaleNormal="60" workbookViewId="0"/>
  </sheetViews>
  <sheetFormatPr defaultColWidth="9.44140625" defaultRowHeight="13.2" x14ac:dyDescent="0.25"/>
  <cols>
    <col min="1" max="1" width="3.44140625" customWidth="1"/>
    <col min="2" max="2" width="21.44140625" style="149" customWidth="1"/>
    <col min="3" max="3" width="14.44140625" style="149" customWidth="1"/>
    <col min="4" max="4" width="14.44140625" style="149" bestFit="1" customWidth="1"/>
    <col min="5" max="5" width="116.44140625" style="149" customWidth="1"/>
    <col min="6" max="16384" width="9.44140625" style="149"/>
  </cols>
  <sheetData>
    <row r="1" spans="2:5" ht="16.2" thickBot="1" x14ac:dyDescent="0.35">
      <c r="B1" s="20" t="s">
        <v>287</v>
      </c>
      <c r="C1" s="17"/>
    </row>
    <row r="2" spans="2:5" x14ac:dyDescent="0.25">
      <c r="B2" s="252" t="s">
        <v>288</v>
      </c>
      <c r="C2" s="253" t="s">
        <v>289</v>
      </c>
      <c r="D2" s="253" t="s">
        <v>290</v>
      </c>
      <c r="E2" s="254" t="s">
        <v>291</v>
      </c>
    </row>
    <row r="3" spans="2:5" ht="12.75" customHeight="1" x14ac:dyDescent="0.25">
      <c r="B3" s="839" t="s">
        <v>273</v>
      </c>
      <c r="C3" s="829" t="s">
        <v>1531</v>
      </c>
      <c r="D3" s="829" t="s">
        <v>260</v>
      </c>
      <c r="E3" s="840" t="s">
        <v>1532</v>
      </c>
    </row>
    <row r="4" spans="2:5" x14ac:dyDescent="0.25">
      <c r="B4" s="822"/>
      <c r="C4" s="828"/>
      <c r="D4" s="828"/>
      <c r="E4" s="837"/>
    </row>
    <row r="5" spans="2:5" ht="12.75" customHeight="1" x14ac:dyDescent="0.25">
      <c r="B5" s="822"/>
      <c r="C5" s="831" t="s">
        <v>1531</v>
      </c>
      <c r="D5" s="831" t="s">
        <v>261</v>
      </c>
      <c r="E5" s="837"/>
    </row>
    <row r="6" spans="2:5" ht="13.8" thickBot="1" x14ac:dyDescent="0.3">
      <c r="B6" s="823"/>
      <c r="C6" s="832"/>
      <c r="D6" s="832"/>
      <c r="E6" s="838"/>
    </row>
    <row r="7" spans="2:5" ht="12.75" customHeight="1" x14ac:dyDescent="0.25">
      <c r="B7" s="826" t="s">
        <v>1530</v>
      </c>
      <c r="C7" s="827" t="s">
        <v>1531</v>
      </c>
      <c r="D7" s="829" t="s">
        <v>260</v>
      </c>
      <c r="E7" s="836" t="s">
        <v>1533</v>
      </c>
    </row>
    <row r="8" spans="2:5" ht="12.6" customHeight="1" x14ac:dyDescent="0.25">
      <c r="B8" s="822"/>
      <c r="C8" s="828"/>
      <c r="D8" s="828"/>
      <c r="E8" s="837"/>
    </row>
    <row r="9" spans="2:5" ht="12.75" customHeight="1" x14ac:dyDescent="0.25">
      <c r="B9" s="822"/>
      <c r="C9" s="831" t="s">
        <v>1531</v>
      </c>
      <c r="D9" s="831" t="s">
        <v>261</v>
      </c>
      <c r="E9" s="837"/>
    </row>
    <row r="10" spans="2:5" ht="13.05" customHeight="1" thickBot="1" x14ac:dyDescent="0.3">
      <c r="B10" s="823"/>
      <c r="C10" s="832"/>
      <c r="D10" s="832"/>
      <c r="E10" s="838"/>
    </row>
    <row r="11" spans="2:5" ht="12.75" customHeight="1" x14ac:dyDescent="0.25">
      <c r="B11" s="826" t="s">
        <v>271</v>
      </c>
      <c r="C11" s="245" t="s">
        <v>292</v>
      </c>
      <c r="D11" s="829" t="s">
        <v>260</v>
      </c>
      <c r="E11" s="824" t="s">
        <v>293</v>
      </c>
    </row>
    <row r="12" spans="2:5" x14ac:dyDescent="0.25">
      <c r="B12" s="822"/>
      <c r="C12" s="242" t="s">
        <v>294</v>
      </c>
      <c r="D12" s="828"/>
      <c r="E12" s="830"/>
    </row>
    <row r="13" spans="2:5" ht="12.75" customHeight="1" x14ac:dyDescent="0.25">
      <c r="B13" s="822"/>
      <c r="C13" s="243" t="s">
        <v>295</v>
      </c>
      <c r="D13" s="831" t="s">
        <v>261</v>
      </c>
      <c r="E13" s="835" t="s">
        <v>296</v>
      </c>
    </row>
    <row r="14" spans="2:5" ht="13.8" thickBot="1" x14ac:dyDescent="0.3">
      <c r="B14" s="822"/>
      <c r="C14" s="243" t="s">
        <v>297</v>
      </c>
      <c r="D14" s="832"/>
      <c r="E14" s="830"/>
    </row>
    <row r="15" spans="2:5" ht="12.75" customHeight="1" x14ac:dyDescent="0.25">
      <c r="B15" s="826" t="s">
        <v>298</v>
      </c>
      <c r="C15" s="245" t="s">
        <v>299</v>
      </c>
      <c r="D15" s="829" t="s">
        <v>260</v>
      </c>
      <c r="E15" s="824" t="s">
        <v>300</v>
      </c>
    </row>
    <row r="16" spans="2:5" x14ac:dyDescent="0.25">
      <c r="B16" s="822"/>
      <c r="C16" s="242" t="s">
        <v>301</v>
      </c>
      <c r="D16" s="828"/>
      <c r="E16" s="830"/>
    </row>
    <row r="17" spans="2:5" ht="12.75" customHeight="1" x14ac:dyDescent="0.25">
      <c r="B17" s="822"/>
      <c r="C17" s="243" t="s">
        <v>302</v>
      </c>
      <c r="D17" s="831" t="s">
        <v>261</v>
      </c>
      <c r="E17" s="835" t="s">
        <v>303</v>
      </c>
    </row>
    <row r="18" spans="2:5" ht="13.8" thickBot="1" x14ac:dyDescent="0.3">
      <c r="B18" s="822"/>
      <c r="C18" s="243" t="s">
        <v>304</v>
      </c>
      <c r="D18" s="832"/>
      <c r="E18" s="830"/>
    </row>
    <row r="19" spans="2:5" ht="12.75" customHeight="1" x14ac:dyDescent="0.25">
      <c r="B19" s="826" t="s">
        <v>305</v>
      </c>
      <c r="C19" s="827" t="s">
        <v>306</v>
      </c>
      <c r="D19" s="829" t="s">
        <v>260</v>
      </c>
      <c r="E19" s="824" t="s">
        <v>307</v>
      </c>
    </row>
    <row r="20" spans="2:5" x14ac:dyDescent="0.25">
      <c r="B20" s="822"/>
      <c r="C20" s="828"/>
      <c r="D20" s="828"/>
      <c r="E20" s="830"/>
    </row>
    <row r="21" spans="2:5" x14ac:dyDescent="0.25">
      <c r="B21" s="822"/>
      <c r="C21" s="831" t="s">
        <v>308</v>
      </c>
      <c r="D21" s="831" t="s">
        <v>261</v>
      </c>
      <c r="E21" s="833" t="s">
        <v>309</v>
      </c>
    </row>
    <row r="22" spans="2:5" ht="13.8" thickBot="1" x14ac:dyDescent="0.3">
      <c r="B22" s="823"/>
      <c r="C22" s="832"/>
      <c r="D22" s="832"/>
      <c r="E22" s="834"/>
    </row>
    <row r="23" spans="2:5" ht="12.75" customHeight="1" x14ac:dyDescent="0.25">
      <c r="B23" s="822" t="s">
        <v>310</v>
      </c>
      <c r="C23" s="193" t="s">
        <v>311</v>
      </c>
      <c r="D23" s="193" t="s">
        <v>260</v>
      </c>
      <c r="E23" s="824" t="s">
        <v>312</v>
      </c>
    </row>
    <row r="24" spans="2:5" ht="13.8" thickBot="1" x14ac:dyDescent="0.3">
      <c r="B24" s="823"/>
      <c r="C24" s="244" t="s">
        <v>313</v>
      </c>
      <c r="D24" s="244" t="s">
        <v>261</v>
      </c>
      <c r="E24" s="825"/>
    </row>
  </sheetData>
  <sheetProtection algorithmName="SHA-512" hashValue="GcwTuklfUwhD3tDBhMD4vdza08SEZF63RejyCg2YWcz6AbNnVtqUiYtOKS+SEkfp8gLOVF0NIbFjdOF+Z3jqYQ==" saltValue="Ei6lLQqTuU5i+lFoLVdZSQ==" spinCount="100000" sheet="1" objects="1" scenarios="1" formatColumns="0" formatRows="0"/>
  <mergeCells count="31">
    <mergeCell ref="B3:B6"/>
    <mergeCell ref="C3:C4"/>
    <mergeCell ref="D3:D4"/>
    <mergeCell ref="E3:E6"/>
    <mergeCell ref="C5:C6"/>
    <mergeCell ref="D5:D6"/>
    <mergeCell ref="B7:B10"/>
    <mergeCell ref="C7:C8"/>
    <mergeCell ref="D7:D8"/>
    <mergeCell ref="E7:E10"/>
    <mergeCell ref="C9:C10"/>
    <mergeCell ref="D9:D10"/>
    <mergeCell ref="B15:B18"/>
    <mergeCell ref="D15:D16"/>
    <mergeCell ref="E15:E16"/>
    <mergeCell ref="D17:D18"/>
    <mergeCell ref="E17:E18"/>
    <mergeCell ref="B11:B14"/>
    <mergeCell ref="D11:D12"/>
    <mergeCell ref="E11:E12"/>
    <mergeCell ref="D13:D14"/>
    <mergeCell ref="E13:E14"/>
    <mergeCell ref="B23:B24"/>
    <mergeCell ref="E23:E24"/>
    <mergeCell ref="B19:B22"/>
    <mergeCell ref="C19:C20"/>
    <mergeCell ref="D19:D20"/>
    <mergeCell ref="E19:E20"/>
    <mergeCell ref="C21:C22"/>
    <mergeCell ref="D21:D22"/>
    <mergeCell ref="E21:E22"/>
  </mergeCell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87"/>
  <sheetViews>
    <sheetView zoomScale="60" zoomScaleNormal="60" workbookViewId="0"/>
  </sheetViews>
  <sheetFormatPr defaultColWidth="9.44140625" defaultRowHeight="13.2" x14ac:dyDescent="0.25"/>
  <cols>
    <col min="1" max="1" width="12.5546875" style="132" customWidth="1"/>
    <col min="2" max="2" width="39.44140625" style="101" bestFit="1" customWidth="1"/>
    <col min="3" max="3" width="104.5546875" style="101" customWidth="1"/>
    <col min="4" max="16384" width="9.44140625" style="101"/>
  </cols>
  <sheetData>
    <row r="1" spans="1:3" ht="15.6" x14ac:dyDescent="0.3">
      <c r="A1" s="250" t="s">
        <v>246</v>
      </c>
      <c r="B1" s="149"/>
    </row>
    <row r="2" spans="1:3" x14ac:dyDescent="0.25">
      <c r="A2" s="251"/>
      <c r="B2" s="133"/>
      <c r="C2" s="133"/>
    </row>
    <row r="3" spans="1:3" s="124" customFormat="1" x14ac:dyDescent="0.25">
      <c r="A3" s="134" t="s">
        <v>226</v>
      </c>
      <c r="B3" s="135" t="s">
        <v>238</v>
      </c>
      <c r="C3" s="139" t="s">
        <v>237</v>
      </c>
    </row>
    <row r="4" spans="1:3" s="125" customFormat="1" x14ac:dyDescent="0.25">
      <c r="A4" s="136" t="s">
        <v>227</v>
      </c>
      <c r="B4" s="137"/>
      <c r="C4" s="140"/>
    </row>
    <row r="5" spans="1:3" x14ac:dyDescent="0.25">
      <c r="A5" s="183"/>
      <c r="B5" s="126" t="s">
        <v>235</v>
      </c>
      <c r="C5" s="126"/>
    </row>
    <row r="6" spans="1:3" x14ac:dyDescent="0.25">
      <c r="A6" s="184"/>
      <c r="B6" s="127" t="s">
        <v>232</v>
      </c>
      <c r="C6" s="127"/>
    </row>
    <row r="7" spans="1:3" ht="52.8" x14ac:dyDescent="0.25">
      <c r="A7" s="128">
        <v>1</v>
      </c>
      <c r="B7" s="129" t="s">
        <v>281</v>
      </c>
      <c r="C7" s="138" t="s">
        <v>509</v>
      </c>
    </row>
    <row r="8" spans="1:3" x14ac:dyDescent="0.25">
      <c r="A8" s="130">
        <v>2</v>
      </c>
      <c r="B8" s="131" t="s">
        <v>282</v>
      </c>
      <c r="C8" s="138" t="s">
        <v>510</v>
      </c>
    </row>
    <row r="9" spans="1:3" ht="39.6" x14ac:dyDescent="0.25">
      <c r="A9" s="128">
        <v>3</v>
      </c>
      <c r="B9" s="129" t="s">
        <v>283</v>
      </c>
      <c r="C9" s="138" t="s">
        <v>511</v>
      </c>
    </row>
    <row r="10" spans="1:3" ht="26.4" x14ac:dyDescent="0.25">
      <c r="A10" s="130">
        <v>4</v>
      </c>
      <c r="B10" s="131" t="s">
        <v>284</v>
      </c>
      <c r="C10" s="138" t="s">
        <v>512</v>
      </c>
    </row>
    <row r="11" spans="1:3" ht="105.6" x14ac:dyDescent="0.25">
      <c r="A11" s="128">
        <v>5</v>
      </c>
      <c r="B11" s="129" t="s">
        <v>234</v>
      </c>
      <c r="C11" s="138" t="s">
        <v>1495</v>
      </c>
    </row>
    <row r="12" spans="1:3" ht="26.4" x14ac:dyDescent="0.25">
      <c r="A12" s="128">
        <v>6</v>
      </c>
      <c r="B12" s="129" t="s">
        <v>236</v>
      </c>
      <c r="C12" s="138" t="s">
        <v>338</v>
      </c>
    </row>
    <row r="13" spans="1:3" ht="92.4" x14ac:dyDescent="0.25">
      <c r="A13" s="130">
        <v>7</v>
      </c>
      <c r="B13" s="131" t="s">
        <v>201</v>
      </c>
      <c r="C13" s="138" t="s">
        <v>1334</v>
      </c>
    </row>
    <row r="14" spans="1:3" ht="26.4" x14ac:dyDescent="0.25">
      <c r="A14" s="128">
        <v>8</v>
      </c>
      <c r="B14" s="129" t="s">
        <v>239</v>
      </c>
      <c r="C14" s="138" t="s">
        <v>243</v>
      </c>
    </row>
    <row r="15" spans="1:3" ht="26.4" x14ac:dyDescent="0.25">
      <c r="A15" s="687">
        <v>9</v>
      </c>
      <c r="B15" s="688" t="s">
        <v>1417</v>
      </c>
      <c r="C15" s="686" t="s">
        <v>1418</v>
      </c>
    </row>
    <row r="16" spans="1:3" ht="158.4" x14ac:dyDescent="0.25">
      <c r="A16" s="687" t="s">
        <v>1352</v>
      </c>
      <c r="B16" s="688" t="s">
        <v>1348</v>
      </c>
      <c r="C16" s="686" t="s">
        <v>1525</v>
      </c>
    </row>
    <row r="17" spans="1:3" ht="158.4" x14ac:dyDescent="0.25">
      <c r="A17" s="689" t="s">
        <v>1353</v>
      </c>
      <c r="B17" s="690" t="s">
        <v>1349</v>
      </c>
      <c r="C17" s="686" t="s">
        <v>1526</v>
      </c>
    </row>
    <row r="18" spans="1:3" ht="158.4" x14ac:dyDescent="0.25">
      <c r="A18" s="689" t="s">
        <v>1354</v>
      </c>
      <c r="B18" s="690" t="s">
        <v>1350</v>
      </c>
      <c r="C18" s="686" t="s">
        <v>1527</v>
      </c>
    </row>
    <row r="19" spans="1:3" ht="158.4" x14ac:dyDescent="0.25">
      <c r="A19" s="689" t="s">
        <v>1355</v>
      </c>
      <c r="B19" s="690" t="s">
        <v>1351</v>
      </c>
      <c r="C19" s="686" t="s">
        <v>1528</v>
      </c>
    </row>
    <row r="20" spans="1:3" ht="39.6" x14ac:dyDescent="0.25">
      <c r="A20" s="687">
        <v>12</v>
      </c>
      <c r="B20" s="129" t="s">
        <v>228</v>
      </c>
      <c r="C20" s="138" t="s">
        <v>1335</v>
      </c>
    </row>
    <row r="21" spans="1:3" ht="118.8" x14ac:dyDescent="0.25">
      <c r="A21" s="689">
        <v>13</v>
      </c>
      <c r="B21" s="131" t="s">
        <v>229</v>
      </c>
      <c r="C21" s="138" t="s">
        <v>1412</v>
      </c>
    </row>
    <row r="22" spans="1:3" ht="26.4" x14ac:dyDescent="0.25">
      <c r="A22" s="687">
        <v>14</v>
      </c>
      <c r="B22" s="131" t="s">
        <v>1457</v>
      </c>
      <c r="C22" s="761" t="s">
        <v>1460</v>
      </c>
    </row>
    <row r="23" spans="1:3" ht="39.6" x14ac:dyDescent="0.25">
      <c r="A23" s="687">
        <v>15</v>
      </c>
      <c r="B23" s="131" t="s">
        <v>463</v>
      </c>
      <c r="C23" s="761" t="s">
        <v>1461</v>
      </c>
    </row>
    <row r="24" spans="1:3" ht="92.4" x14ac:dyDescent="0.25">
      <c r="A24" s="687">
        <v>16</v>
      </c>
      <c r="B24" s="131" t="s">
        <v>1458</v>
      </c>
      <c r="C24" s="761" t="s">
        <v>1462</v>
      </c>
    </row>
    <row r="25" spans="1:3" ht="52.8" x14ac:dyDescent="0.25">
      <c r="A25" s="687">
        <v>17</v>
      </c>
      <c r="B25" s="131" t="s">
        <v>430</v>
      </c>
      <c r="C25" s="761" t="s">
        <v>1463</v>
      </c>
    </row>
    <row r="26" spans="1:3" ht="39.6" x14ac:dyDescent="0.25">
      <c r="A26" s="687">
        <v>18</v>
      </c>
      <c r="B26" s="131" t="s">
        <v>453</v>
      </c>
      <c r="C26" s="761" t="s">
        <v>1464</v>
      </c>
    </row>
    <row r="27" spans="1:3" ht="92.4" x14ac:dyDescent="0.25">
      <c r="A27" s="687">
        <v>19</v>
      </c>
      <c r="B27" s="131" t="s">
        <v>1459</v>
      </c>
      <c r="C27" s="761" t="s">
        <v>1465</v>
      </c>
    </row>
    <row r="28" spans="1:3" x14ac:dyDescent="0.25">
      <c r="A28" s="687">
        <v>20</v>
      </c>
      <c r="B28" s="129" t="s">
        <v>285</v>
      </c>
      <c r="C28" s="105" t="s">
        <v>339</v>
      </c>
    </row>
    <row r="29" spans="1:3" ht="52.8" x14ac:dyDescent="0.25">
      <c r="A29" s="689">
        <v>21</v>
      </c>
      <c r="B29" s="131" t="s">
        <v>240</v>
      </c>
      <c r="C29" s="138" t="s">
        <v>1466</v>
      </c>
    </row>
    <row r="30" spans="1:3" ht="39.6" x14ac:dyDescent="0.25">
      <c r="A30" s="687">
        <v>22</v>
      </c>
      <c r="B30" s="129" t="s">
        <v>230</v>
      </c>
      <c r="C30" s="138" t="s">
        <v>340</v>
      </c>
    </row>
    <row r="31" spans="1:3" ht="26.4" x14ac:dyDescent="0.25">
      <c r="A31" s="689">
        <v>23</v>
      </c>
      <c r="B31" s="131" t="s">
        <v>341</v>
      </c>
      <c r="C31" s="138" t="s">
        <v>513</v>
      </c>
    </row>
    <row r="32" spans="1:3" x14ac:dyDescent="0.25">
      <c r="A32" s="720">
        <v>24</v>
      </c>
      <c r="B32" s="721" t="s">
        <v>1508</v>
      </c>
      <c r="C32" s="722" t="s">
        <v>1420</v>
      </c>
    </row>
    <row r="33" spans="1:3" x14ac:dyDescent="0.25">
      <c r="A33" s="720">
        <v>25</v>
      </c>
      <c r="B33" s="721" t="s">
        <v>286</v>
      </c>
      <c r="C33" s="723" t="s">
        <v>1483</v>
      </c>
    </row>
    <row r="42" spans="1:3" x14ac:dyDescent="0.25">
      <c r="A42" s="101"/>
    </row>
    <row r="69" spans="1:1" x14ac:dyDescent="0.25">
      <c r="A69" s="101"/>
    </row>
    <row r="131" spans="1:1" x14ac:dyDescent="0.25">
      <c r="A131" s="101"/>
    </row>
    <row r="149" spans="1:1" x14ac:dyDescent="0.25">
      <c r="A149" s="101"/>
    </row>
    <row r="187" spans="1:1" x14ac:dyDescent="0.25">
      <c r="A187" s="101"/>
    </row>
  </sheetData>
  <sheetProtection algorithmName="SHA-512" hashValue="Z4aW2l6qKio+6Gf+aOLoGbpefb0knUsne6bzJLuHklnytVe/jvHpfvi2QOyf1dlAuIfhfFtYoe9vVJBKDa28Iw==" saltValue="8B41s+DWcRmgSEs5OByxQw==" spinCount="100000" sheet="1" formatColumns="0" formatRows="0"/>
  <pageMargins left="0.7" right="0.7" top="0.75" bottom="0.75" header="0.3" footer="0.3"/>
  <pageSetup scale="5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349"/>
  <sheetViews>
    <sheetView zoomScale="60" zoomScaleNormal="60" workbookViewId="0"/>
  </sheetViews>
  <sheetFormatPr defaultColWidth="8.5546875" defaultRowHeight="13.2" x14ac:dyDescent="0.25"/>
  <cols>
    <col min="1" max="1" width="56.5546875" style="205" customWidth="1"/>
    <col min="2" max="2" width="24.5546875" style="205" customWidth="1"/>
    <col min="3" max="3" width="26" style="205" customWidth="1"/>
    <col min="4" max="4" width="27.44140625" style="205" customWidth="1"/>
    <col min="5" max="5" width="21.44140625" style="205" customWidth="1"/>
    <col min="6" max="6" width="16.44140625" style="205" customWidth="1"/>
    <col min="7" max="7" width="13.44140625" style="659" customWidth="1"/>
    <col min="8" max="16384" width="8.5546875" style="205"/>
  </cols>
  <sheetData>
    <row r="1" spans="1:8" ht="22.8" x14ac:dyDescent="0.25">
      <c r="A1" s="609" t="s">
        <v>1290</v>
      </c>
      <c r="B1"/>
      <c r="C1"/>
      <c r="D1"/>
      <c r="E1"/>
      <c r="F1"/>
      <c r="G1" s="45"/>
      <c r="H1"/>
    </row>
    <row r="2" spans="1:8" ht="30.6" customHeight="1" x14ac:dyDescent="0.25">
      <c r="A2" s="841" t="s">
        <v>716</v>
      </c>
      <c r="B2" s="841"/>
      <c r="C2" s="841"/>
      <c r="D2" s="841"/>
      <c r="E2" s="841"/>
      <c r="F2" s="841"/>
      <c r="G2" s="45"/>
      <c r="H2"/>
    </row>
    <row r="3" spans="1:8" ht="15" customHeight="1" x14ac:dyDescent="0.25">
      <c r="A3" s="626" t="s">
        <v>717</v>
      </c>
      <c r="B3"/>
      <c r="C3"/>
      <c r="D3"/>
      <c r="E3"/>
      <c r="F3"/>
      <c r="G3" s="45"/>
      <c r="H3"/>
    </row>
    <row r="4" spans="1:8" ht="13.8" x14ac:dyDescent="0.25">
      <c r="A4" s="626" t="s">
        <v>718</v>
      </c>
      <c r="B4"/>
      <c r="C4"/>
      <c r="D4"/>
      <c r="E4"/>
      <c r="F4"/>
      <c r="G4" s="45"/>
      <c r="H4"/>
    </row>
    <row r="5" spans="1:8" ht="29.1" customHeight="1" x14ac:dyDescent="0.25">
      <c r="A5" s="851" t="s">
        <v>1289</v>
      </c>
      <c r="B5" s="851"/>
      <c r="C5" s="851"/>
      <c r="D5" s="851"/>
      <c r="E5" s="851"/>
      <c r="F5" s="851"/>
      <c r="G5" s="45"/>
      <c r="H5"/>
    </row>
    <row r="6" spans="1:8" ht="14.4" thickBot="1" x14ac:dyDescent="0.3">
      <c r="A6" s="626"/>
      <c r="B6"/>
      <c r="C6"/>
      <c r="D6"/>
      <c r="E6"/>
      <c r="F6"/>
      <c r="G6" s="45"/>
      <c r="H6"/>
    </row>
    <row r="7" spans="1:8" ht="53.4" thickBot="1" x14ac:dyDescent="0.3">
      <c r="A7" s="623" t="s">
        <v>425</v>
      </c>
      <c r="B7" s="624" t="s">
        <v>426</v>
      </c>
      <c r="C7" s="624" t="s">
        <v>427</v>
      </c>
      <c r="D7" s="624" t="s">
        <v>93</v>
      </c>
      <c r="E7" s="624" t="s">
        <v>428</v>
      </c>
      <c r="F7" s="625" t="s">
        <v>429</v>
      </c>
      <c r="G7" s="625" t="s">
        <v>1310</v>
      </c>
    </row>
    <row r="8" spans="1:8" ht="27" thickBot="1" x14ac:dyDescent="0.3">
      <c r="A8" s="627" t="s">
        <v>430</v>
      </c>
      <c r="B8" s="628"/>
      <c r="C8" s="628" t="s">
        <v>431</v>
      </c>
      <c r="D8" s="629"/>
      <c r="E8" s="630"/>
      <c r="F8" s="630" t="s">
        <v>1321</v>
      </c>
      <c r="G8" s="619">
        <v>17</v>
      </c>
    </row>
    <row r="9" spans="1:8" ht="27" thickBot="1" x14ac:dyDescent="0.3">
      <c r="A9" s="627" t="s">
        <v>433</v>
      </c>
      <c r="B9" s="628"/>
      <c r="C9" s="628" t="s">
        <v>431</v>
      </c>
      <c r="D9" s="630"/>
      <c r="E9" s="630"/>
      <c r="F9" s="630" t="s">
        <v>1370</v>
      </c>
      <c r="G9" s="619">
        <v>16</v>
      </c>
    </row>
    <row r="10" spans="1:8" ht="13.8" thickBot="1" x14ac:dyDescent="0.3">
      <c r="A10" s="627" t="s">
        <v>434</v>
      </c>
      <c r="B10" s="628" t="s">
        <v>431</v>
      </c>
      <c r="C10" s="628"/>
      <c r="D10" s="630"/>
      <c r="E10" s="630"/>
      <c r="F10" s="630" t="s">
        <v>435</v>
      </c>
      <c r="G10" s="619">
        <v>20</v>
      </c>
    </row>
    <row r="11" spans="1:8" ht="40.200000000000003" thickBot="1" x14ac:dyDescent="0.3">
      <c r="A11" s="627" t="s">
        <v>436</v>
      </c>
      <c r="B11" s="628" t="s">
        <v>431</v>
      </c>
      <c r="C11" s="628"/>
      <c r="D11" s="776" t="s">
        <v>1371</v>
      </c>
      <c r="E11" s="770"/>
      <c r="F11" s="773" t="s">
        <v>1372</v>
      </c>
      <c r="G11" s="619">
        <v>3</v>
      </c>
    </row>
    <row r="12" spans="1:8" ht="13.8" thickBot="1" x14ac:dyDescent="0.3">
      <c r="A12" s="627" t="s">
        <v>438</v>
      </c>
      <c r="B12" s="628" t="s">
        <v>431</v>
      </c>
      <c r="C12" s="628"/>
      <c r="D12" s="630"/>
      <c r="E12" s="630"/>
      <c r="F12" s="630" t="s">
        <v>439</v>
      </c>
      <c r="G12" s="619">
        <v>5</v>
      </c>
    </row>
    <row r="13" spans="1:8" ht="13.8" thickBot="1" x14ac:dyDescent="0.3">
      <c r="A13" s="627" t="s">
        <v>475</v>
      </c>
      <c r="B13" s="628" t="s">
        <v>431</v>
      </c>
      <c r="C13" s="628"/>
      <c r="D13" s="630"/>
      <c r="E13" s="630"/>
      <c r="F13" s="630" t="s">
        <v>476</v>
      </c>
      <c r="G13" s="619">
        <v>5</v>
      </c>
    </row>
    <row r="14" spans="1:8" ht="52.8" x14ac:dyDescent="0.25">
      <c r="A14" s="846" t="s">
        <v>719</v>
      </c>
      <c r="B14" s="846" t="s">
        <v>431</v>
      </c>
      <c r="C14" s="844"/>
      <c r="D14" s="846"/>
      <c r="E14" s="846"/>
      <c r="F14" s="631" t="s">
        <v>440</v>
      </c>
      <c r="G14" s="842">
        <v>2</v>
      </c>
    </row>
    <row r="15" spans="1:8" ht="79.8" customHeight="1" thickBot="1" x14ac:dyDescent="0.3">
      <c r="A15" s="847"/>
      <c r="B15" s="847"/>
      <c r="C15" s="845"/>
      <c r="D15" s="847"/>
      <c r="E15" s="847"/>
      <c r="F15" s="630" t="s">
        <v>720</v>
      </c>
      <c r="G15" s="843"/>
    </row>
    <row r="16" spans="1:8" ht="61.35" customHeight="1" x14ac:dyDescent="0.25">
      <c r="A16" s="844" t="s">
        <v>721</v>
      </c>
      <c r="B16" s="846" t="s">
        <v>431</v>
      </c>
      <c r="C16" s="846"/>
      <c r="D16" s="844"/>
      <c r="E16" s="844"/>
      <c r="F16" s="631" t="s">
        <v>722</v>
      </c>
      <c r="G16" s="842">
        <v>4</v>
      </c>
    </row>
    <row r="17" spans="1:7" ht="81.599999999999994" customHeight="1" thickBot="1" x14ac:dyDescent="0.3">
      <c r="A17" s="845"/>
      <c r="B17" s="847"/>
      <c r="C17" s="847"/>
      <c r="D17" s="845"/>
      <c r="E17" s="845"/>
      <c r="F17" s="630" t="s">
        <v>723</v>
      </c>
      <c r="G17" s="843"/>
    </row>
    <row r="18" spans="1:7" ht="79.8" thickBot="1" x14ac:dyDescent="0.3">
      <c r="A18" s="627" t="s">
        <v>724</v>
      </c>
      <c r="B18" s="628"/>
      <c r="C18" s="628" t="s">
        <v>431</v>
      </c>
      <c r="D18" s="630" t="s">
        <v>725</v>
      </c>
      <c r="E18" s="630"/>
      <c r="F18" s="630"/>
      <c r="G18" s="619"/>
    </row>
    <row r="19" spans="1:7" ht="102.6" customHeight="1" thickBot="1" x14ac:dyDescent="0.3">
      <c r="A19" s="627" t="s">
        <v>726</v>
      </c>
      <c r="B19" s="628" t="s">
        <v>431</v>
      </c>
      <c r="C19" s="628"/>
      <c r="D19" s="775" t="s">
        <v>1373</v>
      </c>
      <c r="E19" s="630"/>
      <c r="F19" s="630" t="s">
        <v>446</v>
      </c>
      <c r="G19" s="619">
        <v>5</v>
      </c>
    </row>
    <row r="20" spans="1:7" ht="13.35" customHeight="1" thickBot="1" x14ac:dyDescent="0.3">
      <c r="A20" s="627" t="s">
        <v>727</v>
      </c>
      <c r="B20" s="628" t="s">
        <v>431</v>
      </c>
      <c r="C20" s="628"/>
      <c r="D20" s="630"/>
      <c r="E20" s="630"/>
      <c r="F20" s="630" t="s">
        <v>472</v>
      </c>
      <c r="G20" s="619">
        <v>12</v>
      </c>
    </row>
    <row r="21" spans="1:7" ht="63" customHeight="1" thickBot="1" x14ac:dyDescent="0.3">
      <c r="A21" s="632" t="s">
        <v>447</v>
      </c>
      <c r="B21" s="628"/>
      <c r="C21" s="628"/>
      <c r="D21" s="630" t="s">
        <v>1484</v>
      </c>
      <c r="E21" s="628"/>
      <c r="F21" s="630"/>
      <c r="G21" s="619">
        <v>19</v>
      </c>
    </row>
    <row r="22" spans="1:7" ht="13.8" thickBot="1" x14ac:dyDescent="0.3">
      <c r="A22" s="627" t="s">
        <v>728</v>
      </c>
      <c r="B22" s="628"/>
      <c r="C22" s="628" t="s">
        <v>431</v>
      </c>
      <c r="D22" s="628"/>
      <c r="E22" s="628"/>
      <c r="F22" s="630" t="s">
        <v>432</v>
      </c>
      <c r="G22" s="619">
        <v>19</v>
      </c>
    </row>
    <row r="23" spans="1:7" ht="13.8" thickBot="1" x14ac:dyDescent="0.3">
      <c r="A23" s="627" t="s">
        <v>729</v>
      </c>
      <c r="B23" s="628"/>
      <c r="C23" s="628" t="s">
        <v>431</v>
      </c>
      <c r="D23" s="628"/>
      <c r="E23" s="633"/>
      <c r="F23" s="630" t="s">
        <v>448</v>
      </c>
      <c r="G23" s="619">
        <v>19</v>
      </c>
    </row>
    <row r="24" spans="1:7" ht="13.8" thickBot="1" x14ac:dyDescent="0.3">
      <c r="A24" s="627" t="s">
        <v>730</v>
      </c>
      <c r="B24" s="628"/>
      <c r="C24" s="628" t="s">
        <v>431</v>
      </c>
      <c r="D24" s="628"/>
      <c r="E24" s="633"/>
      <c r="F24" s="630" t="s">
        <v>1391</v>
      </c>
      <c r="G24" s="619">
        <v>19</v>
      </c>
    </row>
    <row r="25" spans="1:7" ht="40.200000000000003" thickBot="1" x14ac:dyDescent="0.3">
      <c r="A25" s="627" t="s">
        <v>731</v>
      </c>
      <c r="B25" s="628"/>
      <c r="C25" s="628" t="s">
        <v>431</v>
      </c>
      <c r="D25" s="628"/>
      <c r="E25" s="630" t="s">
        <v>732</v>
      </c>
      <c r="F25" s="630" t="s">
        <v>733</v>
      </c>
      <c r="G25" s="619">
        <v>19</v>
      </c>
    </row>
    <row r="26" spans="1:7" ht="13.8" thickBot="1" x14ac:dyDescent="0.3">
      <c r="A26" s="627" t="s">
        <v>734</v>
      </c>
      <c r="B26" s="628"/>
      <c r="C26" s="628" t="s">
        <v>431</v>
      </c>
      <c r="D26" s="628"/>
      <c r="E26" s="628"/>
      <c r="F26" s="630" t="s">
        <v>449</v>
      </c>
      <c r="G26" s="619">
        <v>19</v>
      </c>
    </row>
    <row r="27" spans="1:7" ht="13.8" thickBot="1" x14ac:dyDescent="0.3">
      <c r="A27" s="627" t="s">
        <v>735</v>
      </c>
      <c r="B27" s="628"/>
      <c r="C27" s="628" t="s">
        <v>431</v>
      </c>
      <c r="D27" s="628" t="s">
        <v>736</v>
      </c>
      <c r="E27" s="628"/>
      <c r="F27" s="630" t="s">
        <v>737</v>
      </c>
      <c r="G27" s="619">
        <v>17</v>
      </c>
    </row>
    <row r="28" spans="1:7" ht="13.8" thickBot="1" x14ac:dyDescent="0.3">
      <c r="A28" s="627" t="s">
        <v>738</v>
      </c>
      <c r="B28" s="628"/>
      <c r="C28" s="628"/>
      <c r="D28" s="628"/>
      <c r="E28" s="628"/>
      <c r="F28" s="630" t="s">
        <v>739</v>
      </c>
      <c r="G28" s="619">
        <v>19</v>
      </c>
    </row>
    <row r="29" spans="1:7" ht="27" thickBot="1" x14ac:dyDescent="0.3">
      <c r="A29" s="627" t="s">
        <v>740</v>
      </c>
      <c r="B29" s="628"/>
      <c r="C29" s="628" t="s">
        <v>431</v>
      </c>
      <c r="D29" s="772" t="s">
        <v>1374</v>
      </c>
      <c r="E29" s="774" t="s">
        <v>741</v>
      </c>
      <c r="F29" s="773" t="s">
        <v>1375</v>
      </c>
      <c r="G29" s="619">
        <v>19</v>
      </c>
    </row>
    <row r="30" spans="1:7" ht="13.8" thickBot="1" x14ac:dyDescent="0.3">
      <c r="A30" s="627" t="s">
        <v>742</v>
      </c>
      <c r="B30" s="628"/>
      <c r="C30" s="628" t="s">
        <v>431</v>
      </c>
      <c r="D30" s="628"/>
      <c r="E30" s="628"/>
      <c r="F30" s="630" t="s">
        <v>450</v>
      </c>
      <c r="G30" s="619">
        <v>19</v>
      </c>
    </row>
    <row r="31" spans="1:7" ht="13.35" customHeight="1" thickBot="1" x14ac:dyDescent="0.3">
      <c r="A31" s="627" t="s">
        <v>743</v>
      </c>
      <c r="B31" s="628"/>
      <c r="C31" s="628" t="s">
        <v>431</v>
      </c>
      <c r="D31" s="628"/>
      <c r="E31" s="628"/>
      <c r="F31" s="630" t="s">
        <v>744</v>
      </c>
      <c r="G31" s="619">
        <v>19</v>
      </c>
    </row>
    <row r="32" spans="1:7" ht="13.8" thickBot="1" x14ac:dyDescent="0.3">
      <c r="A32" s="627" t="s">
        <v>745</v>
      </c>
      <c r="B32" s="628"/>
      <c r="C32" s="628" t="s">
        <v>431</v>
      </c>
      <c r="D32" s="628"/>
      <c r="E32" s="628"/>
      <c r="F32" s="630" t="s">
        <v>452</v>
      </c>
      <c r="G32" s="619">
        <v>19</v>
      </c>
    </row>
    <row r="33" spans="1:7" ht="13.35" customHeight="1" thickBot="1" x14ac:dyDescent="0.3">
      <c r="A33" s="627" t="s">
        <v>746</v>
      </c>
      <c r="B33" s="628"/>
      <c r="C33" s="628"/>
      <c r="D33" s="628"/>
      <c r="E33" s="634"/>
      <c r="F33" s="630" t="s">
        <v>747</v>
      </c>
      <c r="G33" s="619">
        <v>19</v>
      </c>
    </row>
    <row r="34" spans="1:7" ht="13.8" thickBot="1" x14ac:dyDescent="0.3">
      <c r="A34" s="627" t="s">
        <v>748</v>
      </c>
      <c r="B34" s="628"/>
      <c r="C34" s="628" t="s">
        <v>431</v>
      </c>
      <c r="D34" s="628"/>
      <c r="E34" s="628"/>
      <c r="F34" s="630" t="s">
        <v>749</v>
      </c>
      <c r="G34" s="619">
        <v>18</v>
      </c>
    </row>
    <row r="35" spans="1:7" ht="13.8" thickBot="1" x14ac:dyDescent="0.3">
      <c r="A35" s="627" t="s">
        <v>750</v>
      </c>
      <c r="B35" s="628"/>
      <c r="C35" s="628" t="s">
        <v>431</v>
      </c>
      <c r="D35" s="628"/>
      <c r="E35" s="628"/>
      <c r="F35" s="630" t="s">
        <v>451</v>
      </c>
      <c r="G35" s="619">
        <v>19</v>
      </c>
    </row>
    <row r="36" spans="1:7" ht="53.4" thickBot="1" x14ac:dyDescent="0.3">
      <c r="A36" s="627" t="s">
        <v>751</v>
      </c>
      <c r="B36" s="628"/>
      <c r="C36" s="628" t="s">
        <v>431</v>
      </c>
      <c r="D36" s="769" t="s">
        <v>1376</v>
      </c>
      <c r="E36" s="628"/>
      <c r="F36" s="630" t="s">
        <v>752</v>
      </c>
      <c r="G36" s="619">
        <v>19</v>
      </c>
    </row>
    <row r="37" spans="1:7" ht="13.8" thickBot="1" x14ac:dyDescent="0.3">
      <c r="A37" s="627" t="s">
        <v>753</v>
      </c>
      <c r="B37" s="628"/>
      <c r="C37" s="628" t="s">
        <v>431</v>
      </c>
      <c r="D37" s="628"/>
      <c r="E37" s="628"/>
      <c r="F37" s="630" t="s">
        <v>754</v>
      </c>
      <c r="G37" s="619">
        <v>19</v>
      </c>
    </row>
    <row r="38" spans="1:7" ht="53.4" thickBot="1" x14ac:dyDescent="0.3">
      <c r="A38" s="627" t="s">
        <v>755</v>
      </c>
      <c r="B38" s="628"/>
      <c r="C38" s="628" t="s">
        <v>431</v>
      </c>
      <c r="D38" s="630" t="s">
        <v>756</v>
      </c>
      <c r="E38" s="630"/>
      <c r="F38" s="630" t="s">
        <v>1389</v>
      </c>
      <c r="G38" s="619">
        <v>14</v>
      </c>
    </row>
    <row r="39" spans="1:7" ht="79.8" thickBot="1" x14ac:dyDescent="0.3">
      <c r="A39" s="627" t="s">
        <v>478</v>
      </c>
      <c r="B39" s="628"/>
      <c r="C39" s="628" t="s">
        <v>431</v>
      </c>
      <c r="D39" s="630"/>
      <c r="E39" s="630"/>
      <c r="F39" s="630" t="s">
        <v>1390</v>
      </c>
      <c r="G39" s="619">
        <v>15</v>
      </c>
    </row>
    <row r="40" spans="1:7" ht="40.200000000000003" thickBot="1" x14ac:dyDescent="0.3">
      <c r="A40" s="627" t="s">
        <v>757</v>
      </c>
      <c r="B40" s="628"/>
      <c r="C40" s="628" t="s">
        <v>431</v>
      </c>
      <c r="D40" s="628"/>
      <c r="E40" s="628"/>
      <c r="F40" s="630" t="s">
        <v>758</v>
      </c>
      <c r="G40" s="619">
        <v>19</v>
      </c>
    </row>
    <row r="41" spans="1:7" ht="53.4" thickBot="1" x14ac:dyDescent="0.3">
      <c r="A41" s="627" t="s">
        <v>759</v>
      </c>
      <c r="B41" s="628"/>
      <c r="C41" s="628" t="s">
        <v>431</v>
      </c>
      <c r="D41" s="769" t="s">
        <v>1377</v>
      </c>
      <c r="E41" s="628"/>
      <c r="F41" s="630" t="s">
        <v>760</v>
      </c>
      <c r="G41" s="619">
        <v>15</v>
      </c>
    </row>
    <row r="42" spans="1:7" ht="13.8" thickBot="1" x14ac:dyDescent="0.3">
      <c r="A42" s="627" t="s">
        <v>761</v>
      </c>
      <c r="B42" s="628"/>
      <c r="C42" s="628" t="s">
        <v>431</v>
      </c>
      <c r="D42" s="630"/>
      <c r="E42" s="634"/>
      <c r="F42" s="630" t="s">
        <v>762</v>
      </c>
      <c r="G42" s="619">
        <v>19</v>
      </c>
    </row>
    <row r="43" spans="1:7" ht="13.8" thickBot="1" x14ac:dyDescent="0.3">
      <c r="A43" s="627" t="s">
        <v>453</v>
      </c>
      <c r="B43" s="628"/>
      <c r="C43" s="628" t="s">
        <v>431</v>
      </c>
      <c r="D43" s="630"/>
      <c r="E43" s="630"/>
      <c r="F43" s="630" t="s">
        <v>1388</v>
      </c>
      <c r="G43" s="619">
        <v>18</v>
      </c>
    </row>
    <row r="44" spans="1:7" ht="13.8" thickBot="1" x14ac:dyDescent="0.3">
      <c r="A44" s="627" t="s">
        <v>763</v>
      </c>
      <c r="B44" s="628"/>
      <c r="C44" s="628" t="s">
        <v>431</v>
      </c>
      <c r="D44" s="630"/>
      <c r="E44" s="630"/>
      <c r="F44" s="630" t="s">
        <v>454</v>
      </c>
      <c r="G44" s="619">
        <v>7</v>
      </c>
    </row>
    <row r="45" spans="1:7" ht="13.8" thickBot="1" x14ac:dyDescent="0.3">
      <c r="A45" s="632" t="s">
        <v>456</v>
      </c>
      <c r="B45" s="635"/>
      <c r="C45" s="635"/>
      <c r="D45" s="630"/>
      <c r="E45" s="630"/>
      <c r="F45" s="630"/>
      <c r="G45" s="619"/>
    </row>
    <row r="46" spans="1:7" ht="40.200000000000003" thickBot="1" x14ac:dyDescent="0.3">
      <c r="A46" s="627" t="s">
        <v>457</v>
      </c>
      <c r="B46" s="628" t="s">
        <v>431</v>
      </c>
      <c r="C46" s="630"/>
      <c r="D46" s="630" t="s">
        <v>764</v>
      </c>
      <c r="E46" s="630"/>
      <c r="F46" s="630" t="s">
        <v>1324</v>
      </c>
      <c r="G46" s="619">
        <v>21</v>
      </c>
    </row>
    <row r="47" spans="1:7" ht="13.35" customHeight="1" thickBot="1" x14ac:dyDescent="0.3">
      <c r="A47" s="627" t="s">
        <v>458</v>
      </c>
      <c r="B47" s="635"/>
      <c r="C47" s="628" t="s">
        <v>431</v>
      </c>
      <c r="D47" s="635"/>
      <c r="E47" s="635"/>
      <c r="F47" s="630" t="s">
        <v>1325</v>
      </c>
      <c r="G47" s="619">
        <v>21</v>
      </c>
    </row>
    <row r="48" spans="1:7" ht="105" customHeight="1" thickBot="1" x14ac:dyDescent="0.3">
      <c r="A48" s="627" t="s">
        <v>765</v>
      </c>
      <c r="B48" s="628"/>
      <c r="C48" s="628" t="s">
        <v>431</v>
      </c>
      <c r="D48" s="630" t="s">
        <v>1485</v>
      </c>
      <c r="E48" s="630"/>
      <c r="F48" s="630" t="s">
        <v>1392</v>
      </c>
      <c r="G48" s="619">
        <v>23</v>
      </c>
    </row>
    <row r="49" spans="1:7" ht="66.599999999999994" thickBot="1" x14ac:dyDescent="0.3">
      <c r="A49" s="627" t="s">
        <v>766</v>
      </c>
      <c r="B49" s="628"/>
      <c r="C49" s="628" t="s">
        <v>431</v>
      </c>
      <c r="D49" s="630"/>
      <c r="E49" s="630"/>
      <c r="F49" s="630" t="s">
        <v>1393</v>
      </c>
      <c r="G49" s="619">
        <v>25</v>
      </c>
    </row>
    <row r="50" spans="1:7" ht="13.8" thickBot="1" x14ac:dyDescent="0.3">
      <c r="A50" s="632" t="s">
        <v>460</v>
      </c>
      <c r="B50" s="628"/>
      <c r="C50" s="628"/>
      <c r="D50" s="628"/>
      <c r="E50" s="628"/>
      <c r="F50" s="630"/>
      <c r="G50" s="619"/>
    </row>
    <row r="51" spans="1:7" ht="13.8" thickBot="1" x14ac:dyDescent="0.3">
      <c r="A51" s="627" t="s">
        <v>767</v>
      </c>
      <c r="B51" s="628"/>
      <c r="C51" s="628"/>
      <c r="D51" s="636" t="s">
        <v>461</v>
      </c>
      <c r="E51" s="636"/>
      <c r="F51" s="636"/>
      <c r="G51" s="763"/>
    </row>
    <row r="52" spans="1:7" ht="119.4" thickBot="1" x14ac:dyDescent="0.3">
      <c r="A52" s="627" t="s">
        <v>768</v>
      </c>
      <c r="B52" s="628"/>
      <c r="C52" s="628" t="s">
        <v>431</v>
      </c>
      <c r="D52" s="630" t="s">
        <v>462</v>
      </c>
      <c r="E52" s="637"/>
      <c r="F52" s="638" t="s">
        <v>769</v>
      </c>
      <c r="G52" s="619">
        <v>21</v>
      </c>
    </row>
    <row r="53" spans="1:7" ht="225" thickBot="1" x14ac:dyDescent="0.3">
      <c r="A53" s="798" t="s">
        <v>1459</v>
      </c>
      <c r="B53" s="638"/>
      <c r="C53" s="628" t="s">
        <v>431</v>
      </c>
      <c r="D53" s="630" t="s">
        <v>770</v>
      </c>
      <c r="E53" s="797" t="s">
        <v>1534</v>
      </c>
      <c r="F53" s="797" t="s">
        <v>1535</v>
      </c>
      <c r="G53" s="619">
        <v>19</v>
      </c>
    </row>
    <row r="54" spans="1:7" ht="136.5" customHeight="1" thickBot="1" x14ac:dyDescent="0.3">
      <c r="A54" s="627" t="s">
        <v>463</v>
      </c>
      <c r="B54" s="628" t="s">
        <v>431</v>
      </c>
      <c r="C54" s="637"/>
      <c r="D54" s="630" t="s">
        <v>771</v>
      </c>
      <c r="E54" s="630"/>
      <c r="F54" s="630" t="s">
        <v>1394</v>
      </c>
      <c r="G54" s="619">
        <v>15</v>
      </c>
    </row>
    <row r="55" spans="1:7" ht="13.8" thickBot="1" x14ac:dyDescent="0.3">
      <c r="A55" s="627" t="s">
        <v>772</v>
      </c>
      <c r="B55" s="635"/>
      <c r="C55" s="628" t="s">
        <v>431</v>
      </c>
      <c r="D55" s="635"/>
      <c r="E55" s="635"/>
      <c r="F55" s="630" t="s">
        <v>1395</v>
      </c>
      <c r="G55" s="619">
        <v>15</v>
      </c>
    </row>
    <row r="56" spans="1:7" ht="93" thickBot="1" x14ac:dyDescent="0.3">
      <c r="A56" s="627" t="s">
        <v>230</v>
      </c>
      <c r="B56" s="628" t="s">
        <v>431</v>
      </c>
      <c r="C56" s="628"/>
      <c r="D56" s="630"/>
      <c r="E56" s="630"/>
      <c r="F56" s="630" t="s">
        <v>1396</v>
      </c>
      <c r="G56" s="619">
        <v>22</v>
      </c>
    </row>
    <row r="57" spans="1:7" ht="58.35" customHeight="1" x14ac:dyDescent="0.25">
      <c r="A57" s="852" t="s">
        <v>464</v>
      </c>
      <c r="B57" s="853"/>
      <c r="C57" s="853"/>
      <c r="D57" s="854"/>
      <c r="E57" s="844"/>
      <c r="F57" s="631" t="s">
        <v>773</v>
      </c>
      <c r="G57" s="842">
        <v>1</v>
      </c>
    </row>
    <row r="58" spans="1:7" ht="48.6" customHeight="1" thickBot="1" x14ac:dyDescent="0.3">
      <c r="A58" s="855"/>
      <c r="B58" s="856"/>
      <c r="C58" s="856"/>
      <c r="D58" s="857"/>
      <c r="E58" s="845"/>
      <c r="F58" s="630" t="s">
        <v>774</v>
      </c>
      <c r="G58" s="843"/>
    </row>
    <row r="59" spans="1:7" ht="13.8" thickBot="1" x14ac:dyDescent="0.3">
      <c r="A59" s="627" t="s">
        <v>775</v>
      </c>
      <c r="B59" s="628" t="s">
        <v>431</v>
      </c>
      <c r="C59" s="628"/>
      <c r="D59" s="630"/>
      <c r="E59" s="630"/>
      <c r="F59" s="630" t="s">
        <v>466</v>
      </c>
      <c r="G59" s="619">
        <v>1</v>
      </c>
    </row>
    <row r="60" spans="1:7" ht="13.8" thickBot="1" x14ac:dyDescent="0.3">
      <c r="A60" s="627" t="s">
        <v>776</v>
      </c>
      <c r="B60" s="628" t="s">
        <v>431</v>
      </c>
      <c r="C60" s="628"/>
      <c r="D60" s="630"/>
      <c r="E60" s="630"/>
      <c r="F60" s="630" t="s">
        <v>466</v>
      </c>
      <c r="G60" s="619">
        <v>1</v>
      </c>
    </row>
    <row r="61" spans="1:7" ht="13.8" thickBot="1" x14ac:dyDescent="0.3">
      <c r="A61" s="627" t="s">
        <v>777</v>
      </c>
      <c r="B61" s="628" t="s">
        <v>431</v>
      </c>
      <c r="C61" s="628"/>
      <c r="D61" s="630"/>
      <c r="E61" s="630"/>
      <c r="F61" s="630" t="s">
        <v>466</v>
      </c>
      <c r="G61" s="619">
        <v>2</v>
      </c>
    </row>
    <row r="62" spans="1:7" ht="13.8" thickBot="1" x14ac:dyDescent="0.3">
      <c r="A62" s="627" t="s">
        <v>778</v>
      </c>
      <c r="B62" s="628" t="s">
        <v>431</v>
      </c>
      <c r="C62" s="628"/>
      <c r="D62" s="630"/>
      <c r="E62" s="630"/>
      <c r="F62" s="630" t="s">
        <v>466</v>
      </c>
      <c r="G62" s="619">
        <v>1</v>
      </c>
    </row>
    <row r="63" spans="1:7" ht="13.8" thickBot="1" x14ac:dyDescent="0.3">
      <c r="A63" s="627" t="s">
        <v>779</v>
      </c>
      <c r="B63" s="628"/>
      <c r="C63" s="628" t="s">
        <v>431</v>
      </c>
      <c r="D63" s="630"/>
      <c r="E63" s="630"/>
      <c r="F63" s="630" t="s">
        <v>69</v>
      </c>
      <c r="G63" s="619">
        <v>4</v>
      </c>
    </row>
    <row r="64" spans="1:7" ht="13.8" thickBot="1" x14ac:dyDescent="0.3">
      <c r="A64" s="627" t="s">
        <v>471</v>
      </c>
      <c r="B64" s="628" t="s">
        <v>431</v>
      </c>
      <c r="C64" s="628"/>
      <c r="D64" s="630"/>
      <c r="E64" s="630"/>
      <c r="F64" s="630" t="s">
        <v>472</v>
      </c>
      <c r="G64" s="619">
        <v>12</v>
      </c>
    </row>
    <row r="65" spans="1:7" ht="13.8" thickBot="1" x14ac:dyDescent="0.3">
      <c r="A65" s="627" t="s">
        <v>780</v>
      </c>
      <c r="B65" s="628" t="s">
        <v>431</v>
      </c>
      <c r="C65" s="628"/>
      <c r="D65" s="630"/>
      <c r="E65" s="630"/>
      <c r="F65" s="630" t="s">
        <v>69</v>
      </c>
      <c r="G65" s="619">
        <v>5</v>
      </c>
    </row>
    <row r="66" spans="1:7" ht="13.8" thickBot="1" x14ac:dyDescent="0.3">
      <c r="A66" s="627" t="s">
        <v>781</v>
      </c>
      <c r="B66" s="628" t="s">
        <v>431</v>
      </c>
      <c r="C66" s="628"/>
      <c r="D66" s="630"/>
      <c r="E66" s="630"/>
      <c r="F66" s="630" t="s">
        <v>69</v>
      </c>
      <c r="G66" s="619">
        <v>5</v>
      </c>
    </row>
    <row r="67" spans="1:7" ht="53.4" thickBot="1" x14ac:dyDescent="0.3">
      <c r="A67" s="627" t="s">
        <v>473</v>
      </c>
      <c r="B67" s="628" t="s">
        <v>431</v>
      </c>
      <c r="C67" s="628"/>
      <c r="D67" s="630"/>
      <c r="E67" s="630" t="s">
        <v>1322</v>
      </c>
      <c r="F67" s="630" t="s">
        <v>782</v>
      </c>
      <c r="G67" s="619">
        <v>21</v>
      </c>
    </row>
    <row r="68" spans="1:7" ht="79.8" thickBot="1" x14ac:dyDescent="0.3">
      <c r="A68" s="627" t="s">
        <v>783</v>
      </c>
      <c r="B68" s="628" t="s">
        <v>431</v>
      </c>
      <c r="C68" s="628"/>
      <c r="D68" s="630"/>
      <c r="E68" s="670" t="s">
        <v>1323</v>
      </c>
      <c r="F68" s="630" t="s">
        <v>784</v>
      </c>
      <c r="G68" s="619">
        <v>3</v>
      </c>
    </row>
    <row r="69" spans="1:7" ht="106.2" thickBot="1" x14ac:dyDescent="0.3">
      <c r="A69" s="627" t="s">
        <v>459</v>
      </c>
      <c r="B69" s="628" t="s">
        <v>431</v>
      </c>
      <c r="C69" s="628"/>
      <c r="D69" s="770" t="s">
        <v>1378</v>
      </c>
      <c r="E69" s="670" t="s">
        <v>1323</v>
      </c>
      <c r="F69" s="630" t="s">
        <v>1379</v>
      </c>
      <c r="G69" s="619">
        <v>21</v>
      </c>
    </row>
    <row r="70" spans="1:7" ht="13.8" thickBot="1" x14ac:dyDescent="0.3">
      <c r="A70" s="627" t="s">
        <v>785</v>
      </c>
      <c r="B70" s="628"/>
      <c r="C70" s="628" t="s">
        <v>431</v>
      </c>
      <c r="D70" s="630"/>
      <c r="E70" s="630"/>
      <c r="F70" s="630" t="s">
        <v>733</v>
      </c>
      <c r="G70" s="619">
        <v>25</v>
      </c>
    </row>
    <row r="71" spans="1:7" ht="53.4" thickBot="1" x14ac:dyDescent="0.3">
      <c r="A71" s="627" t="s">
        <v>672</v>
      </c>
      <c r="B71" s="628" t="s">
        <v>431</v>
      </c>
      <c r="C71" s="628"/>
      <c r="D71" s="770" t="s">
        <v>1380</v>
      </c>
      <c r="E71" s="631"/>
      <c r="F71" s="631" t="s">
        <v>1382</v>
      </c>
      <c r="G71" s="619" t="s">
        <v>1363</v>
      </c>
    </row>
    <row r="72" spans="1:7" ht="106.2" thickBot="1" x14ac:dyDescent="0.3">
      <c r="A72" s="627" t="s">
        <v>474</v>
      </c>
      <c r="B72" s="628" t="s">
        <v>431</v>
      </c>
      <c r="C72" s="628"/>
      <c r="D72" s="769" t="s">
        <v>1381</v>
      </c>
      <c r="E72" s="765"/>
      <c r="F72" s="766" t="s">
        <v>1383</v>
      </c>
      <c r="G72" s="619">
        <v>5</v>
      </c>
    </row>
    <row r="73" spans="1:7" ht="13.35" customHeight="1" thickBot="1" x14ac:dyDescent="0.3">
      <c r="A73" s="627" t="s">
        <v>477</v>
      </c>
      <c r="B73" s="628" t="s">
        <v>431</v>
      </c>
      <c r="C73" s="628" t="s">
        <v>431</v>
      </c>
      <c r="D73" s="767" t="s">
        <v>786</v>
      </c>
      <c r="E73" s="768"/>
      <c r="F73" s="767" t="s">
        <v>787</v>
      </c>
      <c r="G73" s="619">
        <v>5</v>
      </c>
    </row>
    <row r="74" spans="1:7" ht="27" thickBot="1" x14ac:dyDescent="0.3">
      <c r="A74" s="627" t="s">
        <v>788</v>
      </c>
      <c r="B74" s="628" t="s">
        <v>431</v>
      </c>
      <c r="C74" s="628"/>
      <c r="D74" s="630"/>
      <c r="E74" s="670" t="s">
        <v>1323</v>
      </c>
      <c r="F74" s="630" t="s">
        <v>789</v>
      </c>
      <c r="G74" s="619">
        <v>21</v>
      </c>
    </row>
    <row r="75" spans="1:7" ht="27" thickBot="1" x14ac:dyDescent="0.3">
      <c r="A75" s="627" t="s">
        <v>480</v>
      </c>
      <c r="B75" s="628" t="s">
        <v>431</v>
      </c>
      <c r="C75" s="628"/>
      <c r="D75" s="771" t="s">
        <v>1384</v>
      </c>
      <c r="E75" s="631"/>
      <c r="F75" s="631" t="s">
        <v>1387</v>
      </c>
      <c r="G75" s="619">
        <v>12</v>
      </c>
    </row>
    <row r="76" spans="1:7" ht="139.35" customHeight="1" thickBot="1" x14ac:dyDescent="0.3">
      <c r="A76" s="627" t="s">
        <v>455</v>
      </c>
      <c r="B76" s="628" t="s">
        <v>431</v>
      </c>
      <c r="C76" s="628"/>
      <c r="D76" s="769" t="s">
        <v>1385</v>
      </c>
      <c r="E76" s="765"/>
      <c r="F76" s="766" t="s">
        <v>1386</v>
      </c>
      <c r="G76" s="619">
        <v>3</v>
      </c>
    </row>
    <row r="77" spans="1:7" ht="13.8" thickBot="1" x14ac:dyDescent="0.3">
      <c r="A77" s="632" t="s">
        <v>790</v>
      </c>
      <c r="B77" s="628"/>
      <c r="C77" s="628"/>
      <c r="D77" s="628"/>
      <c r="E77" s="639"/>
      <c r="F77" s="639"/>
      <c r="G77" s="619"/>
    </row>
    <row r="78" spans="1:7" ht="132.6" thickBot="1" x14ac:dyDescent="0.3">
      <c r="A78" s="627" t="s">
        <v>791</v>
      </c>
      <c r="B78" s="628" t="s">
        <v>431</v>
      </c>
      <c r="C78" s="628"/>
      <c r="D78" s="630" t="s">
        <v>792</v>
      </c>
      <c r="E78" s="630"/>
      <c r="F78" s="630" t="s">
        <v>793</v>
      </c>
      <c r="G78" s="619">
        <v>13</v>
      </c>
    </row>
    <row r="79" spans="1:7" ht="13.35" customHeight="1" x14ac:dyDescent="0.25">
      <c r="A79" s="844" t="s">
        <v>1509</v>
      </c>
      <c r="B79" s="846"/>
      <c r="C79" s="846" t="s">
        <v>431</v>
      </c>
      <c r="D79" s="844" t="s">
        <v>470</v>
      </c>
      <c r="E79" s="844"/>
      <c r="F79" s="844" t="s">
        <v>794</v>
      </c>
      <c r="G79" s="842">
        <v>13</v>
      </c>
    </row>
    <row r="80" spans="1:7" ht="13.8" thickBot="1" x14ac:dyDescent="0.3">
      <c r="A80" s="845"/>
      <c r="B80" s="847"/>
      <c r="C80" s="847"/>
      <c r="D80" s="845"/>
      <c r="E80" s="845"/>
      <c r="F80" s="845"/>
      <c r="G80" s="843"/>
    </row>
    <row r="81" spans="1:7" ht="93" thickBot="1" x14ac:dyDescent="0.3">
      <c r="A81" s="627" t="s">
        <v>795</v>
      </c>
      <c r="B81" s="628" t="s">
        <v>431</v>
      </c>
      <c r="C81" s="628"/>
      <c r="D81" s="630"/>
      <c r="E81" s="630"/>
      <c r="F81" s="630" t="s">
        <v>796</v>
      </c>
      <c r="G81" s="619">
        <v>5</v>
      </c>
    </row>
    <row r="82" spans="1:7" ht="13.8" thickBot="1" x14ac:dyDescent="0.3">
      <c r="A82" s="627" t="s">
        <v>797</v>
      </c>
      <c r="B82" s="628"/>
      <c r="C82" s="628" t="s">
        <v>431</v>
      </c>
      <c r="D82" s="630"/>
      <c r="E82" s="630"/>
      <c r="F82" s="630" t="s">
        <v>1397</v>
      </c>
      <c r="G82" s="619">
        <v>16</v>
      </c>
    </row>
    <row r="83" spans="1:7" ht="13.8" thickBot="1" x14ac:dyDescent="0.3">
      <c r="A83" s="627" t="s">
        <v>798</v>
      </c>
      <c r="B83" s="628" t="s">
        <v>431</v>
      </c>
      <c r="C83" s="628"/>
      <c r="D83" s="630"/>
      <c r="E83" s="630"/>
      <c r="F83" s="630" t="s">
        <v>437</v>
      </c>
      <c r="G83" s="619">
        <v>5</v>
      </c>
    </row>
    <row r="84" spans="1:7" ht="93" thickBot="1" x14ac:dyDescent="0.3">
      <c r="A84" s="627" t="s">
        <v>799</v>
      </c>
      <c r="B84" s="628" t="s">
        <v>431</v>
      </c>
      <c r="C84" s="628"/>
      <c r="D84" s="769" t="s">
        <v>1398</v>
      </c>
      <c r="E84" s="630"/>
      <c r="F84" s="777" t="s">
        <v>1399</v>
      </c>
      <c r="G84" s="619">
        <v>25</v>
      </c>
    </row>
    <row r="85" spans="1:7" ht="13.8" thickBot="1" x14ac:dyDescent="0.3">
      <c r="A85" s="632" t="s">
        <v>481</v>
      </c>
      <c r="B85" s="628"/>
      <c r="C85" s="628"/>
      <c r="D85" s="628"/>
      <c r="E85" s="628"/>
      <c r="F85" s="630"/>
      <c r="G85" s="619"/>
    </row>
    <row r="86" spans="1:7" ht="44.55" customHeight="1" thickBot="1" x14ac:dyDescent="0.3">
      <c r="A86" s="627" t="s">
        <v>800</v>
      </c>
      <c r="B86" s="628" t="s">
        <v>431</v>
      </c>
      <c r="C86" s="628"/>
      <c r="D86" s="770" t="s">
        <v>1400</v>
      </c>
      <c r="E86" s="630"/>
      <c r="F86" s="777" t="s">
        <v>1403</v>
      </c>
      <c r="G86" s="619">
        <v>8</v>
      </c>
    </row>
    <row r="87" spans="1:7" ht="96" customHeight="1" thickBot="1" x14ac:dyDescent="0.3">
      <c r="A87" s="627" t="s">
        <v>801</v>
      </c>
      <c r="B87" s="628" t="s">
        <v>431</v>
      </c>
      <c r="C87" s="628"/>
      <c r="D87" s="770" t="s">
        <v>1401</v>
      </c>
      <c r="E87" s="630"/>
      <c r="F87" s="777" t="s">
        <v>1405</v>
      </c>
      <c r="G87" s="619">
        <v>8</v>
      </c>
    </row>
    <row r="88" spans="1:7" ht="66.599999999999994" thickBot="1" x14ac:dyDescent="0.3">
      <c r="A88" s="627" t="s">
        <v>802</v>
      </c>
      <c r="B88" s="628" t="s">
        <v>431</v>
      </c>
      <c r="C88" s="628"/>
      <c r="D88" s="770" t="s">
        <v>1402</v>
      </c>
      <c r="E88" s="630"/>
      <c r="F88" s="777" t="s">
        <v>1404</v>
      </c>
      <c r="G88" s="619">
        <v>8</v>
      </c>
    </row>
    <row r="89" spans="1:7" ht="93" thickBot="1" x14ac:dyDescent="0.3">
      <c r="A89" s="627" t="s">
        <v>285</v>
      </c>
      <c r="B89" s="628"/>
      <c r="C89" s="628" t="s">
        <v>431</v>
      </c>
      <c r="D89" s="770" t="s">
        <v>1411</v>
      </c>
      <c r="E89" s="634"/>
      <c r="F89" s="777" t="s">
        <v>1410</v>
      </c>
      <c r="G89" s="619">
        <v>20</v>
      </c>
    </row>
    <row r="90" spans="1:7" ht="27" thickBot="1" x14ac:dyDescent="0.3">
      <c r="A90" s="627" t="s">
        <v>803</v>
      </c>
      <c r="B90" s="628"/>
      <c r="C90" s="628" t="s">
        <v>431</v>
      </c>
      <c r="D90" s="634"/>
      <c r="E90" s="630"/>
      <c r="F90" s="630" t="s">
        <v>482</v>
      </c>
      <c r="G90" s="619">
        <v>6</v>
      </c>
    </row>
    <row r="91" spans="1:7" ht="13.8" thickBot="1" x14ac:dyDescent="0.3">
      <c r="A91" s="848" t="s">
        <v>441</v>
      </c>
      <c r="B91" s="849"/>
      <c r="C91" s="849"/>
      <c r="D91" s="850"/>
      <c r="E91" s="635"/>
      <c r="F91" s="630"/>
      <c r="G91" s="619"/>
    </row>
    <row r="92" spans="1:7" ht="27" thickBot="1" x14ac:dyDescent="0.3">
      <c r="A92" s="627" t="s">
        <v>804</v>
      </c>
      <c r="B92" s="628"/>
      <c r="C92" s="628" t="s">
        <v>431</v>
      </c>
      <c r="D92" s="630"/>
      <c r="E92" s="630"/>
      <c r="F92" s="630" t="s">
        <v>805</v>
      </c>
      <c r="G92" s="619">
        <v>4</v>
      </c>
    </row>
    <row r="93" spans="1:7" ht="27" thickBot="1" x14ac:dyDescent="0.3">
      <c r="A93" s="627" t="s">
        <v>806</v>
      </c>
      <c r="B93" s="628"/>
      <c r="C93" s="628" t="s">
        <v>431</v>
      </c>
      <c r="D93" s="630"/>
      <c r="E93" s="634"/>
      <c r="F93" s="630" t="s">
        <v>807</v>
      </c>
      <c r="G93" s="619">
        <v>4</v>
      </c>
    </row>
    <row r="94" spans="1:7" ht="13.8" thickBot="1" x14ac:dyDescent="0.3">
      <c r="A94" s="627" t="s">
        <v>808</v>
      </c>
      <c r="B94" s="628"/>
      <c r="C94" s="628" t="s">
        <v>431</v>
      </c>
      <c r="D94" s="630"/>
      <c r="E94" s="630"/>
      <c r="F94" s="630" t="s">
        <v>442</v>
      </c>
      <c r="G94" s="619">
        <v>4</v>
      </c>
    </row>
    <row r="95" spans="1:7" ht="40.200000000000003" thickBot="1" x14ac:dyDescent="0.3">
      <c r="A95" s="627" t="s">
        <v>809</v>
      </c>
      <c r="B95" s="628"/>
      <c r="C95" s="628" t="s">
        <v>431</v>
      </c>
      <c r="D95" s="770" t="s">
        <v>1406</v>
      </c>
      <c r="E95" s="777"/>
      <c r="F95" s="777" t="s">
        <v>1408</v>
      </c>
      <c r="G95" s="619">
        <v>4</v>
      </c>
    </row>
    <row r="96" spans="1:7" ht="67.05" customHeight="1" thickBot="1" x14ac:dyDescent="0.3">
      <c r="A96" s="627" t="s">
        <v>810</v>
      </c>
      <c r="B96" s="628"/>
      <c r="C96" s="628" t="s">
        <v>431</v>
      </c>
      <c r="D96" s="770" t="s">
        <v>1407</v>
      </c>
      <c r="E96" s="777"/>
      <c r="F96" s="777" t="s">
        <v>1409</v>
      </c>
      <c r="G96" s="619">
        <v>4</v>
      </c>
    </row>
    <row r="97" spans="1:8" ht="13.8" thickBot="1" x14ac:dyDescent="0.3">
      <c r="A97" s="627" t="s">
        <v>811</v>
      </c>
      <c r="B97" s="628"/>
      <c r="C97" s="628" t="s">
        <v>431</v>
      </c>
      <c r="D97" s="630"/>
      <c r="E97" s="630"/>
      <c r="F97" s="630" t="s">
        <v>812</v>
      </c>
      <c r="G97" s="619">
        <v>4</v>
      </c>
    </row>
    <row r="98" spans="1:8" ht="13.8" thickBot="1" x14ac:dyDescent="0.3">
      <c r="A98" s="627" t="s">
        <v>813</v>
      </c>
      <c r="B98" s="628"/>
      <c r="C98" s="628" t="s">
        <v>431</v>
      </c>
      <c r="D98" s="630"/>
      <c r="E98" s="630"/>
      <c r="F98" s="630" t="s">
        <v>443</v>
      </c>
      <c r="G98" s="619">
        <v>4</v>
      </c>
    </row>
    <row r="99" spans="1:8" ht="13.8" thickBot="1" x14ac:dyDescent="0.3">
      <c r="A99" s="627" t="s">
        <v>814</v>
      </c>
      <c r="B99" s="628"/>
      <c r="C99" s="628" t="s">
        <v>431</v>
      </c>
      <c r="D99" s="630"/>
      <c r="E99" s="634"/>
      <c r="F99" s="630" t="s">
        <v>815</v>
      </c>
      <c r="G99" s="619">
        <v>4</v>
      </c>
    </row>
    <row r="100" spans="1:8" ht="13.8" thickBot="1" x14ac:dyDescent="0.3">
      <c r="A100" s="627" t="s">
        <v>816</v>
      </c>
      <c r="B100" s="628"/>
      <c r="C100" s="628" t="s">
        <v>431</v>
      </c>
      <c r="D100" s="630"/>
      <c r="E100" s="630"/>
      <c r="F100" s="630" t="s">
        <v>444</v>
      </c>
      <c r="G100" s="619">
        <v>4</v>
      </c>
    </row>
    <row r="101" spans="1:8" ht="13.8" thickBot="1" x14ac:dyDescent="0.3">
      <c r="A101" s="627" t="s">
        <v>817</v>
      </c>
      <c r="B101" s="628"/>
      <c r="C101" s="628" t="s">
        <v>431</v>
      </c>
      <c r="D101" s="630"/>
      <c r="E101" s="630"/>
      <c r="F101" s="630" t="s">
        <v>445</v>
      </c>
      <c r="G101" s="619">
        <v>4</v>
      </c>
    </row>
    <row r="102" spans="1:8" x14ac:dyDescent="0.25">
      <c r="A102"/>
      <c r="B102"/>
      <c r="C102"/>
      <c r="D102"/>
      <c r="E102"/>
      <c r="F102"/>
      <c r="G102" s="45"/>
      <c r="H102"/>
    </row>
    <row r="103" spans="1:8" x14ac:dyDescent="0.25">
      <c r="A103"/>
      <c r="B103"/>
      <c r="C103"/>
      <c r="D103"/>
      <c r="E103"/>
      <c r="F103"/>
      <c r="G103" s="45"/>
      <c r="H103"/>
    </row>
    <row r="104" spans="1:8" ht="22.8" x14ac:dyDescent="0.25">
      <c r="A104" s="609" t="s">
        <v>1291</v>
      </c>
      <c r="B104"/>
      <c r="C104"/>
      <c r="D104"/>
      <c r="E104"/>
      <c r="F104"/>
      <c r="G104" s="45"/>
      <c r="H104"/>
    </row>
    <row r="105" spans="1:8" ht="13.8" x14ac:dyDescent="0.25">
      <c r="A105" s="626"/>
      <c r="B105"/>
      <c r="C105"/>
      <c r="D105"/>
      <c r="E105"/>
      <c r="F105"/>
      <c r="G105" s="45"/>
      <c r="H105"/>
    </row>
    <row r="106" spans="1:8" x14ac:dyDescent="0.25">
      <c r="A106" s="648" t="s">
        <v>1292</v>
      </c>
      <c r="B106"/>
      <c r="C106"/>
      <c r="D106"/>
      <c r="E106"/>
      <c r="F106"/>
      <c r="G106" s="45"/>
      <c r="H106"/>
    </row>
    <row r="107" spans="1:8" x14ac:dyDescent="0.25">
      <c r="A107" s="649" t="s">
        <v>818</v>
      </c>
      <c r="B107"/>
      <c r="C107"/>
      <c r="D107"/>
      <c r="E107"/>
      <c r="F107"/>
      <c r="G107" s="45"/>
      <c r="H107"/>
    </row>
    <row r="108" spans="1:8" x14ac:dyDescent="0.25">
      <c r="A108" s="650" t="s">
        <v>1293</v>
      </c>
      <c r="B108"/>
      <c r="C108"/>
      <c r="D108"/>
      <c r="E108"/>
      <c r="F108"/>
      <c r="G108" s="45"/>
      <c r="H108"/>
    </row>
    <row r="109" spans="1:8" x14ac:dyDescent="0.25">
      <c r="A109" s="650" t="s">
        <v>1294</v>
      </c>
      <c r="B109"/>
      <c r="C109"/>
      <c r="D109"/>
      <c r="E109"/>
      <c r="F109"/>
      <c r="G109" s="45"/>
      <c r="H109"/>
    </row>
    <row r="110" spans="1:8" x14ac:dyDescent="0.25">
      <c r="A110" s="651" t="s">
        <v>1295</v>
      </c>
      <c r="B110"/>
      <c r="C110"/>
      <c r="D110"/>
      <c r="E110"/>
      <c r="F110"/>
      <c r="G110" s="45"/>
      <c r="H110"/>
    </row>
    <row r="111" spans="1:8" x14ac:dyDescent="0.25">
      <c r="A111" s="651" t="s">
        <v>1296</v>
      </c>
      <c r="B111"/>
      <c r="C111"/>
      <c r="D111"/>
      <c r="E111"/>
      <c r="F111"/>
      <c r="G111" s="45"/>
      <c r="H111"/>
    </row>
    <row r="112" spans="1:8" x14ac:dyDescent="0.25">
      <c r="A112" s="651" t="s">
        <v>1297</v>
      </c>
      <c r="B112"/>
      <c r="C112"/>
      <c r="D112"/>
      <c r="E112"/>
      <c r="F112"/>
      <c r="G112" s="45"/>
      <c r="H112"/>
    </row>
    <row r="113" spans="1:8" x14ac:dyDescent="0.25">
      <c r="A113" s="652" t="s">
        <v>1298</v>
      </c>
      <c r="B113"/>
      <c r="C113"/>
      <c r="D113"/>
      <c r="E113"/>
      <c r="F113"/>
      <c r="G113" s="45"/>
      <c r="H113"/>
    </row>
    <row r="114" spans="1:8" ht="13.8" thickBot="1" x14ac:dyDescent="0.3">
      <c r="A114" s="653"/>
      <c r="B114"/>
      <c r="C114"/>
      <c r="D114"/>
      <c r="E114"/>
      <c r="F114"/>
      <c r="G114" s="45"/>
      <c r="H114"/>
    </row>
    <row r="115" spans="1:8" ht="14.4" thickBot="1" x14ac:dyDescent="0.3">
      <c r="A115" s="641" t="s">
        <v>820</v>
      </c>
      <c r="B115" s="640" t="s">
        <v>819</v>
      </c>
      <c r="C115" s="642" t="s">
        <v>821</v>
      </c>
      <c r="D115" s="642" t="s">
        <v>822</v>
      </c>
      <c r="E115" s="642" t="s">
        <v>823</v>
      </c>
      <c r="F115" s="642" t="s">
        <v>824</v>
      </c>
      <c r="G115" s="45"/>
      <c r="H115"/>
    </row>
    <row r="116" spans="1:8" ht="14.4" thickBot="1" x14ac:dyDescent="0.3">
      <c r="A116" s="644" t="s">
        <v>826</v>
      </c>
      <c r="B116" s="643" t="s">
        <v>825</v>
      </c>
      <c r="C116" s="645" t="s">
        <v>827</v>
      </c>
      <c r="D116" s="646">
        <v>19890101</v>
      </c>
      <c r="E116" s="646">
        <v>19960101</v>
      </c>
      <c r="F116" s="639"/>
      <c r="G116" s="45"/>
      <c r="H116"/>
    </row>
    <row r="117" spans="1:8" ht="14.4" thickBot="1" x14ac:dyDescent="0.3">
      <c r="A117" s="644" t="s">
        <v>829</v>
      </c>
      <c r="B117" s="643" t="s">
        <v>828</v>
      </c>
      <c r="C117" s="645" t="s">
        <v>830</v>
      </c>
      <c r="D117" s="646">
        <v>19960101</v>
      </c>
      <c r="E117" s="646">
        <v>20030401</v>
      </c>
      <c r="F117" s="639"/>
      <c r="G117" s="45"/>
      <c r="H117"/>
    </row>
    <row r="118" spans="1:8" ht="14.4" thickBot="1" x14ac:dyDescent="0.3">
      <c r="A118" s="644" t="s">
        <v>832</v>
      </c>
      <c r="B118" s="643" t="s">
        <v>831</v>
      </c>
      <c r="C118" s="645" t="s">
        <v>827</v>
      </c>
      <c r="D118" s="646">
        <v>19900101</v>
      </c>
      <c r="E118" s="646">
        <v>19970101</v>
      </c>
      <c r="F118" s="639"/>
      <c r="G118" s="45"/>
      <c r="H118"/>
    </row>
    <row r="119" spans="1:8" ht="14.4" thickBot="1" x14ac:dyDescent="0.3">
      <c r="A119" s="644" t="s">
        <v>834</v>
      </c>
      <c r="B119" s="643" t="s">
        <v>833</v>
      </c>
      <c r="C119" s="645" t="s">
        <v>835</v>
      </c>
      <c r="D119" s="646">
        <v>20080101</v>
      </c>
      <c r="E119" s="646">
        <v>20080101</v>
      </c>
      <c r="F119" s="639"/>
      <c r="G119" s="45"/>
      <c r="H119"/>
    </row>
    <row r="120" spans="1:8" ht="14.4" thickBot="1" x14ac:dyDescent="0.3">
      <c r="A120" s="644" t="s">
        <v>837</v>
      </c>
      <c r="B120" s="643" t="s">
        <v>836</v>
      </c>
      <c r="C120" s="645" t="s">
        <v>835</v>
      </c>
      <c r="D120" s="646">
        <v>19990101</v>
      </c>
      <c r="E120" s="646">
        <v>19990101</v>
      </c>
      <c r="F120" s="639"/>
      <c r="G120" s="45"/>
      <c r="H120"/>
    </row>
    <row r="121" spans="1:8" ht="28.2" thickBot="1" x14ac:dyDescent="0.3">
      <c r="A121" s="644" t="s">
        <v>839</v>
      </c>
      <c r="B121" s="643" t="s">
        <v>838</v>
      </c>
      <c r="C121" s="645" t="s">
        <v>830</v>
      </c>
      <c r="D121" s="646">
        <v>20100101</v>
      </c>
      <c r="E121" s="646">
        <v>20100101</v>
      </c>
      <c r="F121" s="639"/>
      <c r="G121" s="45"/>
      <c r="H121"/>
    </row>
    <row r="122" spans="1:8" ht="14.4" thickBot="1" x14ac:dyDescent="0.3">
      <c r="A122" s="644" t="s">
        <v>841</v>
      </c>
      <c r="B122" s="643" t="s">
        <v>840</v>
      </c>
      <c r="C122" s="645" t="s">
        <v>830</v>
      </c>
      <c r="D122" s="646">
        <v>20030101</v>
      </c>
      <c r="E122" s="646">
        <v>20030101</v>
      </c>
      <c r="F122" s="639"/>
      <c r="G122" s="45"/>
      <c r="H122"/>
    </row>
    <row r="123" spans="1:8" ht="14.4" thickBot="1" x14ac:dyDescent="0.3">
      <c r="A123" s="644" t="s">
        <v>843</v>
      </c>
      <c r="B123" s="643" t="s">
        <v>842</v>
      </c>
      <c r="C123" s="645" t="s">
        <v>830</v>
      </c>
      <c r="D123" s="646">
        <v>20030101</v>
      </c>
      <c r="E123" s="646">
        <v>20030101</v>
      </c>
      <c r="F123" s="639"/>
      <c r="G123" s="45"/>
      <c r="H123"/>
    </row>
    <row r="124" spans="1:8" ht="14.4" thickBot="1" x14ac:dyDescent="0.3">
      <c r="A124" s="644" t="s">
        <v>845</v>
      </c>
      <c r="B124" s="643" t="s">
        <v>844</v>
      </c>
      <c r="C124" s="645" t="s">
        <v>830</v>
      </c>
      <c r="D124" s="646">
        <v>20030101</v>
      </c>
      <c r="E124" s="646">
        <v>20030101</v>
      </c>
      <c r="F124" s="639"/>
      <c r="G124" s="45"/>
      <c r="H124"/>
    </row>
    <row r="125" spans="1:8" ht="14.4" thickBot="1" x14ac:dyDescent="0.3">
      <c r="A125" s="644" t="s">
        <v>847</v>
      </c>
      <c r="B125" s="643" t="s">
        <v>846</v>
      </c>
      <c r="C125" s="645" t="s">
        <v>830</v>
      </c>
      <c r="D125" s="646">
        <v>20030101</v>
      </c>
      <c r="E125" s="646">
        <v>20030101</v>
      </c>
      <c r="F125" s="639"/>
      <c r="G125" s="45"/>
      <c r="H125"/>
    </row>
    <row r="126" spans="1:8" ht="28.2" thickBot="1" x14ac:dyDescent="0.3">
      <c r="A126" s="644" t="s">
        <v>849</v>
      </c>
      <c r="B126" s="643" t="s">
        <v>848</v>
      </c>
      <c r="C126" s="645" t="s">
        <v>827</v>
      </c>
      <c r="D126" s="646">
        <v>20100101</v>
      </c>
      <c r="E126" s="646">
        <v>20150101</v>
      </c>
      <c r="F126" s="639"/>
      <c r="G126" s="45"/>
      <c r="H126"/>
    </row>
    <row r="127" spans="1:8" ht="14.4" thickBot="1" x14ac:dyDescent="0.3">
      <c r="A127" s="644" t="s">
        <v>851</v>
      </c>
      <c r="B127" s="643" t="s">
        <v>850</v>
      </c>
      <c r="C127" s="645" t="s">
        <v>827</v>
      </c>
      <c r="D127" s="646">
        <v>19860101</v>
      </c>
      <c r="E127" s="646">
        <v>20030101</v>
      </c>
      <c r="F127" s="639"/>
      <c r="G127" s="45"/>
      <c r="H127"/>
    </row>
    <row r="128" spans="1:8" ht="14.4" thickBot="1" x14ac:dyDescent="0.3">
      <c r="A128" s="644" t="s">
        <v>853</v>
      </c>
      <c r="B128" s="643" t="s">
        <v>852</v>
      </c>
      <c r="C128" s="645" t="s">
        <v>827</v>
      </c>
      <c r="D128" s="646">
        <v>19860101</v>
      </c>
      <c r="E128" s="646">
        <v>20030101</v>
      </c>
      <c r="F128" s="639"/>
      <c r="G128" s="45"/>
      <c r="H128"/>
    </row>
    <row r="129" spans="1:8" ht="14.4" thickBot="1" x14ac:dyDescent="0.3">
      <c r="A129" s="644" t="s">
        <v>855</v>
      </c>
      <c r="B129" s="643" t="s">
        <v>854</v>
      </c>
      <c r="C129" s="645" t="s">
        <v>827</v>
      </c>
      <c r="D129" s="646">
        <v>19860101</v>
      </c>
      <c r="E129" s="646">
        <v>20030101</v>
      </c>
      <c r="F129" s="639"/>
      <c r="G129" s="45"/>
      <c r="H129"/>
    </row>
    <row r="130" spans="1:8" ht="14.4" thickBot="1" x14ac:dyDescent="0.3">
      <c r="A130" s="644" t="s">
        <v>857</v>
      </c>
      <c r="B130" s="643" t="s">
        <v>856</v>
      </c>
      <c r="C130" s="645" t="s">
        <v>827</v>
      </c>
      <c r="D130" s="646">
        <v>19860101</v>
      </c>
      <c r="E130" s="646">
        <v>20030101</v>
      </c>
      <c r="F130" s="639"/>
      <c r="G130" s="45"/>
      <c r="H130"/>
    </row>
    <row r="131" spans="1:8" ht="14.4" thickBot="1" x14ac:dyDescent="0.3">
      <c r="A131" s="644" t="s">
        <v>859</v>
      </c>
      <c r="B131" s="643" t="s">
        <v>858</v>
      </c>
      <c r="C131" s="645" t="s">
        <v>827</v>
      </c>
      <c r="D131" s="646">
        <v>20050101</v>
      </c>
      <c r="E131" s="646">
        <v>20050101</v>
      </c>
      <c r="F131" s="639"/>
      <c r="G131" s="45"/>
      <c r="H131"/>
    </row>
    <row r="132" spans="1:8" ht="14.4" thickBot="1" x14ac:dyDescent="0.3">
      <c r="A132" s="644" t="s">
        <v>861</v>
      </c>
      <c r="B132" s="643" t="s">
        <v>860</v>
      </c>
      <c r="C132" s="645" t="s">
        <v>827</v>
      </c>
      <c r="D132" s="646">
        <v>19860101</v>
      </c>
      <c r="E132" s="646">
        <v>20050101</v>
      </c>
      <c r="F132" s="639"/>
      <c r="G132" s="45"/>
      <c r="H132"/>
    </row>
    <row r="133" spans="1:8" ht="28.2" thickBot="1" x14ac:dyDescent="0.3">
      <c r="A133" s="644" t="s">
        <v>863</v>
      </c>
      <c r="B133" s="643" t="s">
        <v>862</v>
      </c>
      <c r="C133" s="645" t="s">
        <v>830</v>
      </c>
      <c r="D133" s="646">
        <v>20140101</v>
      </c>
      <c r="E133" s="646">
        <v>20140101</v>
      </c>
      <c r="F133" s="639"/>
      <c r="G133" s="45"/>
      <c r="H133"/>
    </row>
    <row r="134" spans="1:8" ht="28.2" thickBot="1" x14ac:dyDescent="0.3">
      <c r="A134" s="644" t="s">
        <v>865</v>
      </c>
      <c r="B134" s="643" t="s">
        <v>864</v>
      </c>
      <c r="C134" s="646" t="s">
        <v>830</v>
      </c>
      <c r="D134" s="639"/>
      <c r="E134" s="639"/>
      <c r="F134" s="639"/>
      <c r="G134" s="45"/>
      <c r="H134"/>
    </row>
    <row r="135" spans="1:8" ht="42" thickBot="1" x14ac:dyDescent="0.3">
      <c r="A135" s="644" t="s">
        <v>867</v>
      </c>
      <c r="B135" s="643" t="s">
        <v>866</v>
      </c>
      <c r="C135" s="645" t="s">
        <v>830</v>
      </c>
      <c r="D135" s="646">
        <v>20110101</v>
      </c>
      <c r="E135" s="646">
        <v>20110101</v>
      </c>
      <c r="F135" s="639"/>
      <c r="G135" s="45"/>
      <c r="H135"/>
    </row>
    <row r="136" spans="1:8" ht="14.4" thickBot="1" x14ac:dyDescent="0.3">
      <c r="A136" s="644" t="s">
        <v>869</v>
      </c>
      <c r="B136" s="643" t="s">
        <v>868</v>
      </c>
      <c r="C136" s="645" t="s">
        <v>830</v>
      </c>
      <c r="D136" s="646">
        <v>19820101</v>
      </c>
      <c r="E136" s="646">
        <v>20010701</v>
      </c>
      <c r="F136" s="639"/>
      <c r="G136" s="45"/>
      <c r="H136"/>
    </row>
    <row r="137" spans="1:8" ht="14.4" thickBot="1" x14ac:dyDescent="0.3">
      <c r="A137" s="644" t="s">
        <v>871</v>
      </c>
      <c r="B137" s="643" t="s">
        <v>870</v>
      </c>
      <c r="C137" s="645" t="s">
        <v>827</v>
      </c>
      <c r="D137" s="646">
        <v>19960101</v>
      </c>
      <c r="E137" s="646">
        <v>19960101</v>
      </c>
      <c r="F137" s="639"/>
      <c r="G137" s="45"/>
      <c r="H137"/>
    </row>
    <row r="138" spans="1:8" ht="14.4" thickBot="1" x14ac:dyDescent="0.3">
      <c r="A138" s="644" t="s">
        <v>873</v>
      </c>
      <c r="B138" s="643" t="s">
        <v>872</v>
      </c>
      <c r="C138" s="645" t="s">
        <v>830</v>
      </c>
      <c r="D138" s="646">
        <v>19820101</v>
      </c>
      <c r="E138" s="646">
        <v>20030101</v>
      </c>
      <c r="F138" s="639"/>
      <c r="G138" s="45"/>
      <c r="H138"/>
    </row>
    <row r="139" spans="1:8" ht="14.4" thickBot="1" x14ac:dyDescent="0.3">
      <c r="A139" s="644" t="s">
        <v>875</v>
      </c>
      <c r="B139" s="643" t="s">
        <v>874</v>
      </c>
      <c r="C139" s="645" t="s">
        <v>830</v>
      </c>
      <c r="D139" s="646">
        <v>19840101</v>
      </c>
      <c r="E139" s="646">
        <v>20030101</v>
      </c>
      <c r="F139" s="639"/>
      <c r="G139" s="45"/>
      <c r="H139"/>
    </row>
    <row r="140" spans="1:8" ht="14.4" thickBot="1" x14ac:dyDescent="0.3">
      <c r="A140" s="644" t="s">
        <v>877</v>
      </c>
      <c r="B140" s="643" t="s">
        <v>876</v>
      </c>
      <c r="C140" s="645" t="s">
        <v>835</v>
      </c>
      <c r="D140" s="646">
        <v>19900101</v>
      </c>
      <c r="E140" s="646">
        <v>20140101</v>
      </c>
      <c r="F140" s="639"/>
      <c r="G140" s="45"/>
      <c r="H140"/>
    </row>
    <row r="141" spans="1:8" ht="14.4" thickBot="1" x14ac:dyDescent="0.3">
      <c r="A141" s="644" t="s">
        <v>879</v>
      </c>
      <c r="B141" s="643" t="s">
        <v>878</v>
      </c>
      <c r="C141" s="645" t="s">
        <v>835</v>
      </c>
      <c r="D141" s="646">
        <v>19900101</v>
      </c>
      <c r="E141" s="646">
        <v>20140101</v>
      </c>
      <c r="F141" s="639"/>
      <c r="G141" s="45"/>
      <c r="H141"/>
    </row>
    <row r="142" spans="1:8" ht="14.4" thickBot="1" x14ac:dyDescent="0.3">
      <c r="A142" s="644" t="s">
        <v>881</v>
      </c>
      <c r="B142" s="643" t="s">
        <v>880</v>
      </c>
      <c r="C142" s="645" t="s">
        <v>835</v>
      </c>
      <c r="D142" s="646">
        <v>19900101</v>
      </c>
      <c r="E142" s="646">
        <v>20140101</v>
      </c>
      <c r="F142" s="639"/>
      <c r="G142" s="45"/>
      <c r="H142"/>
    </row>
    <row r="143" spans="1:8" ht="28.2" thickBot="1" x14ac:dyDescent="0.3">
      <c r="A143" s="644" t="s">
        <v>883</v>
      </c>
      <c r="B143" s="643" t="s">
        <v>882</v>
      </c>
      <c r="C143" s="645" t="s">
        <v>827</v>
      </c>
      <c r="D143" s="646">
        <v>19910101</v>
      </c>
      <c r="E143" s="646">
        <v>19970101</v>
      </c>
      <c r="F143" s="639"/>
      <c r="G143" s="45"/>
      <c r="H143"/>
    </row>
    <row r="144" spans="1:8" ht="14.4" thickBot="1" x14ac:dyDescent="0.3">
      <c r="A144" s="644" t="s">
        <v>885</v>
      </c>
      <c r="B144" s="643" t="s">
        <v>884</v>
      </c>
      <c r="C144" s="645" t="s">
        <v>827</v>
      </c>
      <c r="D144" s="646">
        <v>19860101</v>
      </c>
      <c r="E144" s="646">
        <v>20030101</v>
      </c>
      <c r="F144" s="639"/>
      <c r="G144" s="45"/>
      <c r="H144"/>
    </row>
    <row r="145" spans="1:8" ht="28.2" thickBot="1" x14ac:dyDescent="0.3">
      <c r="A145" s="644" t="s">
        <v>887</v>
      </c>
      <c r="B145" s="643" t="s">
        <v>886</v>
      </c>
      <c r="C145" s="645" t="s">
        <v>827</v>
      </c>
      <c r="D145" s="646">
        <v>20020101</v>
      </c>
      <c r="E145" s="646">
        <v>20020701</v>
      </c>
      <c r="F145" s="639"/>
      <c r="G145" s="45"/>
      <c r="H145"/>
    </row>
    <row r="146" spans="1:8" ht="14.4" thickBot="1" x14ac:dyDescent="0.3">
      <c r="A146" s="644" t="s">
        <v>889</v>
      </c>
      <c r="B146" s="643" t="s">
        <v>888</v>
      </c>
      <c r="C146" s="645" t="s">
        <v>835</v>
      </c>
      <c r="D146" s="646">
        <v>20080101</v>
      </c>
      <c r="E146" s="646">
        <v>20080101</v>
      </c>
      <c r="F146" s="639"/>
      <c r="G146" s="45"/>
      <c r="H146"/>
    </row>
    <row r="147" spans="1:8" ht="28.2" thickBot="1" x14ac:dyDescent="0.3">
      <c r="A147" s="644" t="s">
        <v>891</v>
      </c>
      <c r="B147" s="643" t="s">
        <v>890</v>
      </c>
      <c r="C147" s="645" t="s">
        <v>827</v>
      </c>
      <c r="D147" s="646">
        <v>20060101</v>
      </c>
      <c r="E147" s="646">
        <v>20110101</v>
      </c>
      <c r="F147" s="639"/>
      <c r="G147" s="45"/>
      <c r="H147"/>
    </row>
    <row r="148" spans="1:8" ht="28.2" thickBot="1" x14ac:dyDescent="0.3">
      <c r="A148" s="644" t="s">
        <v>893</v>
      </c>
      <c r="B148" s="643" t="s">
        <v>892</v>
      </c>
      <c r="C148" s="645" t="s">
        <v>827</v>
      </c>
      <c r="D148" s="646">
        <v>20060101</v>
      </c>
      <c r="E148" s="646">
        <v>20110101</v>
      </c>
      <c r="F148" s="639"/>
      <c r="G148" s="45"/>
      <c r="H148"/>
    </row>
    <row r="149" spans="1:8" ht="28.2" thickBot="1" x14ac:dyDescent="0.3">
      <c r="A149" s="644" t="s">
        <v>895</v>
      </c>
      <c r="B149" s="643" t="s">
        <v>894</v>
      </c>
      <c r="C149" s="645" t="s">
        <v>827</v>
      </c>
      <c r="D149" s="646">
        <v>20060101</v>
      </c>
      <c r="E149" s="646">
        <v>20110101</v>
      </c>
      <c r="F149" s="639"/>
      <c r="G149" s="45"/>
      <c r="H149"/>
    </row>
    <row r="150" spans="1:8" ht="28.2" thickBot="1" x14ac:dyDescent="0.3">
      <c r="A150" s="644" t="s">
        <v>897</v>
      </c>
      <c r="B150" s="643" t="s">
        <v>896</v>
      </c>
      <c r="C150" s="645" t="s">
        <v>827</v>
      </c>
      <c r="D150" s="646">
        <v>20060101</v>
      </c>
      <c r="E150" s="646">
        <v>20110101</v>
      </c>
      <c r="F150" s="639"/>
      <c r="G150" s="45"/>
      <c r="H150"/>
    </row>
    <row r="151" spans="1:8" ht="28.2" thickBot="1" x14ac:dyDescent="0.3">
      <c r="A151" s="644" t="s">
        <v>899</v>
      </c>
      <c r="B151" s="643" t="s">
        <v>898</v>
      </c>
      <c r="C151" s="645" t="s">
        <v>827</v>
      </c>
      <c r="D151" s="646">
        <v>20060101</v>
      </c>
      <c r="E151" s="646">
        <v>20110101</v>
      </c>
      <c r="F151" s="639"/>
      <c r="G151" s="45"/>
      <c r="H151"/>
    </row>
    <row r="152" spans="1:8" ht="28.2" thickBot="1" x14ac:dyDescent="0.3">
      <c r="A152" s="644" t="s">
        <v>901</v>
      </c>
      <c r="B152" s="643" t="s">
        <v>900</v>
      </c>
      <c r="C152" s="645" t="s">
        <v>827</v>
      </c>
      <c r="D152" s="646">
        <v>20060101</v>
      </c>
      <c r="E152" s="646">
        <v>20110101</v>
      </c>
      <c r="F152" s="639"/>
      <c r="G152" s="45"/>
      <c r="H152"/>
    </row>
    <row r="153" spans="1:8" ht="28.2" thickBot="1" x14ac:dyDescent="0.3">
      <c r="A153" s="644" t="s">
        <v>903</v>
      </c>
      <c r="B153" s="643" t="s">
        <v>902</v>
      </c>
      <c r="C153" s="645" t="s">
        <v>827</v>
      </c>
      <c r="D153" s="646">
        <v>20060101</v>
      </c>
      <c r="E153" s="646">
        <v>20110101</v>
      </c>
      <c r="F153" s="639"/>
      <c r="G153" s="45"/>
      <c r="H153"/>
    </row>
    <row r="154" spans="1:8" ht="28.2" thickBot="1" x14ac:dyDescent="0.3">
      <c r="A154" s="644" t="s">
        <v>905</v>
      </c>
      <c r="B154" s="643" t="s">
        <v>904</v>
      </c>
      <c r="C154" s="645" t="s">
        <v>827</v>
      </c>
      <c r="D154" s="646">
        <v>20060101</v>
      </c>
      <c r="E154" s="646">
        <v>20110101</v>
      </c>
      <c r="F154" s="639"/>
      <c r="G154" s="45"/>
      <c r="H154"/>
    </row>
    <row r="155" spans="1:8" ht="28.2" thickBot="1" x14ac:dyDescent="0.3">
      <c r="A155" s="644" t="s">
        <v>907</v>
      </c>
      <c r="B155" s="643" t="s">
        <v>906</v>
      </c>
      <c r="C155" s="645" t="s">
        <v>827</v>
      </c>
      <c r="D155" s="646">
        <v>20060101</v>
      </c>
      <c r="E155" s="646">
        <v>20110101</v>
      </c>
      <c r="F155" s="639"/>
      <c r="G155" s="45"/>
      <c r="H155"/>
    </row>
    <row r="156" spans="1:8" ht="28.2" thickBot="1" x14ac:dyDescent="0.3">
      <c r="A156" s="644" t="s">
        <v>909</v>
      </c>
      <c r="B156" s="643" t="s">
        <v>908</v>
      </c>
      <c r="C156" s="645" t="s">
        <v>827</v>
      </c>
      <c r="D156" s="646">
        <v>20060101</v>
      </c>
      <c r="E156" s="646">
        <v>20110101</v>
      </c>
      <c r="F156" s="639"/>
      <c r="G156" s="45"/>
      <c r="H156"/>
    </row>
    <row r="157" spans="1:8" ht="14.4" thickBot="1" x14ac:dyDescent="0.3">
      <c r="A157" s="644" t="s">
        <v>911</v>
      </c>
      <c r="B157" s="643" t="s">
        <v>910</v>
      </c>
      <c r="C157" s="645" t="s">
        <v>827</v>
      </c>
      <c r="D157" s="646">
        <v>20060101</v>
      </c>
      <c r="E157" s="646">
        <v>20110101</v>
      </c>
      <c r="F157" s="639"/>
      <c r="G157" s="45"/>
      <c r="H157"/>
    </row>
    <row r="158" spans="1:8" ht="28.2" thickBot="1" x14ac:dyDescent="0.3">
      <c r="A158" s="644" t="s">
        <v>913</v>
      </c>
      <c r="B158" s="643" t="s">
        <v>912</v>
      </c>
      <c r="C158" s="645" t="s">
        <v>827</v>
      </c>
      <c r="D158" s="646">
        <v>20060101</v>
      </c>
      <c r="E158" s="646">
        <v>20110101</v>
      </c>
      <c r="F158" s="639"/>
      <c r="G158" s="45"/>
      <c r="H158"/>
    </row>
    <row r="159" spans="1:8" ht="28.2" thickBot="1" x14ac:dyDescent="0.3">
      <c r="A159" s="644" t="s">
        <v>915</v>
      </c>
      <c r="B159" s="643" t="s">
        <v>914</v>
      </c>
      <c r="C159" s="645" t="s">
        <v>830</v>
      </c>
      <c r="D159" s="646">
        <v>20050101</v>
      </c>
      <c r="E159" s="646">
        <v>20050101</v>
      </c>
      <c r="F159" s="639"/>
      <c r="G159" s="45"/>
      <c r="H159"/>
    </row>
    <row r="160" spans="1:8" ht="28.2" thickBot="1" x14ac:dyDescent="0.3">
      <c r="A160" s="644" t="s">
        <v>917</v>
      </c>
      <c r="B160" s="643" t="s">
        <v>916</v>
      </c>
      <c r="C160" s="645" t="s">
        <v>830</v>
      </c>
      <c r="D160" s="646">
        <v>20050101</v>
      </c>
      <c r="E160" s="646">
        <v>20050101</v>
      </c>
      <c r="F160" s="639"/>
      <c r="G160" s="45"/>
      <c r="H160"/>
    </row>
    <row r="161" spans="1:8" ht="28.2" thickBot="1" x14ac:dyDescent="0.3">
      <c r="A161" s="644" t="s">
        <v>919</v>
      </c>
      <c r="B161" s="643" t="s">
        <v>918</v>
      </c>
      <c r="C161" s="645" t="s">
        <v>830</v>
      </c>
      <c r="D161" s="646">
        <v>20050101</v>
      </c>
      <c r="E161" s="646">
        <v>20050101</v>
      </c>
      <c r="F161" s="639"/>
      <c r="G161" s="45"/>
      <c r="H161"/>
    </row>
    <row r="162" spans="1:8" ht="14.4" thickBot="1" x14ac:dyDescent="0.3">
      <c r="A162" s="644" t="s">
        <v>921</v>
      </c>
      <c r="B162" s="643" t="s">
        <v>920</v>
      </c>
      <c r="C162" s="645" t="s">
        <v>827</v>
      </c>
      <c r="D162" s="646">
        <v>19860101</v>
      </c>
      <c r="E162" s="646">
        <v>20020101</v>
      </c>
      <c r="F162" s="639"/>
      <c r="G162" s="45"/>
      <c r="H162"/>
    </row>
    <row r="163" spans="1:8" ht="28.2" thickBot="1" x14ac:dyDescent="0.3">
      <c r="A163" s="644" t="s">
        <v>923</v>
      </c>
      <c r="B163" s="643" t="s">
        <v>922</v>
      </c>
      <c r="C163" s="645" t="s">
        <v>835</v>
      </c>
      <c r="D163" s="646">
        <v>20120101</v>
      </c>
      <c r="E163" s="646">
        <v>20150101</v>
      </c>
      <c r="F163" s="639"/>
      <c r="G163" s="45"/>
      <c r="H163"/>
    </row>
    <row r="164" spans="1:8" ht="28.2" thickBot="1" x14ac:dyDescent="0.3">
      <c r="A164" s="644" t="s">
        <v>925</v>
      </c>
      <c r="B164" s="643" t="s">
        <v>924</v>
      </c>
      <c r="C164" s="645" t="s">
        <v>827</v>
      </c>
      <c r="D164" s="646">
        <v>20110101</v>
      </c>
      <c r="E164" s="646">
        <v>20110101</v>
      </c>
      <c r="F164" s="639"/>
      <c r="G164" s="45"/>
      <c r="H164"/>
    </row>
    <row r="165" spans="1:8" ht="28.2" thickBot="1" x14ac:dyDescent="0.3">
      <c r="A165" s="644" t="s">
        <v>927</v>
      </c>
      <c r="B165" s="643" t="s">
        <v>926</v>
      </c>
      <c r="C165" s="645" t="s">
        <v>835</v>
      </c>
      <c r="D165" s="646">
        <v>20080101</v>
      </c>
      <c r="E165" s="646">
        <v>20150101</v>
      </c>
      <c r="F165" s="639"/>
      <c r="G165" s="45"/>
      <c r="H165"/>
    </row>
    <row r="166" spans="1:8" ht="14.4" thickBot="1" x14ac:dyDescent="0.3">
      <c r="A166" s="644" t="s">
        <v>929</v>
      </c>
      <c r="B166" s="643" t="s">
        <v>928</v>
      </c>
      <c r="C166" s="645" t="s">
        <v>827</v>
      </c>
      <c r="D166" s="646">
        <v>20060101</v>
      </c>
      <c r="E166" s="646">
        <v>20060101</v>
      </c>
      <c r="F166" s="639"/>
      <c r="G166" s="45"/>
      <c r="H166"/>
    </row>
    <row r="167" spans="1:8" ht="42" thickBot="1" x14ac:dyDescent="0.3">
      <c r="A167" s="644" t="s">
        <v>931</v>
      </c>
      <c r="B167" s="643" t="s">
        <v>930</v>
      </c>
      <c r="C167" s="645" t="s">
        <v>835</v>
      </c>
      <c r="D167" s="646">
        <v>20080101</v>
      </c>
      <c r="E167" s="646">
        <v>20080101</v>
      </c>
      <c r="F167" s="639"/>
      <c r="G167" s="45"/>
      <c r="H167"/>
    </row>
    <row r="168" spans="1:8" ht="28.2" thickBot="1" x14ac:dyDescent="0.3">
      <c r="A168" s="644" t="s">
        <v>933</v>
      </c>
      <c r="B168" s="643" t="s">
        <v>932</v>
      </c>
      <c r="C168" s="645" t="s">
        <v>835</v>
      </c>
      <c r="D168" s="646">
        <v>20080101</v>
      </c>
      <c r="E168" s="646">
        <v>20080101</v>
      </c>
      <c r="F168" s="639"/>
      <c r="G168" s="45"/>
      <c r="H168"/>
    </row>
    <row r="169" spans="1:8" ht="28.2" thickBot="1" x14ac:dyDescent="0.3">
      <c r="A169" s="644" t="s">
        <v>935</v>
      </c>
      <c r="B169" s="643" t="s">
        <v>934</v>
      </c>
      <c r="C169" s="645" t="s">
        <v>835</v>
      </c>
      <c r="D169" s="646">
        <v>20080101</v>
      </c>
      <c r="E169" s="646">
        <v>20080101</v>
      </c>
      <c r="F169" s="639"/>
      <c r="G169" s="45"/>
      <c r="H169"/>
    </row>
    <row r="170" spans="1:8" ht="42" thickBot="1" x14ac:dyDescent="0.3">
      <c r="A170" s="644" t="s">
        <v>937</v>
      </c>
      <c r="B170" s="643" t="s">
        <v>936</v>
      </c>
      <c r="C170" s="645" t="s">
        <v>835</v>
      </c>
      <c r="D170" s="646">
        <v>20070101</v>
      </c>
      <c r="E170" s="646">
        <v>20150101</v>
      </c>
      <c r="F170" s="639"/>
      <c r="G170" s="45"/>
      <c r="H170"/>
    </row>
    <row r="171" spans="1:8" ht="14.4" thickBot="1" x14ac:dyDescent="0.3">
      <c r="A171" s="644" t="s">
        <v>939</v>
      </c>
      <c r="B171" s="643" t="s">
        <v>938</v>
      </c>
      <c r="C171" s="645" t="s">
        <v>835</v>
      </c>
      <c r="D171" s="646">
        <v>20040101</v>
      </c>
      <c r="E171" s="646">
        <v>20040101</v>
      </c>
      <c r="F171" s="639"/>
      <c r="G171" s="45"/>
      <c r="H171"/>
    </row>
    <row r="172" spans="1:8" ht="14.4" thickBot="1" x14ac:dyDescent="0.3">
      <c r="A172" s="644" t="s">
        <v>941</v>
      </c>
      <c r="B172" s="643" t="s">
        <v>940</v>
      </c>
      <c r="C172" s="645" t="s">
        <v>835</v>
      </c>
      <c r="D172" s="646">
        <v>20060101</v>
      </c>
      <c r="E172" s="646">
        <v>20060101</v>
      </c>
      <c r="F172" s="639"/>
      <c r="G172" s="45"/>
      <c r="H172"/>
    </row>
    <row r="173" spans="1:8" ht="14.4" thickBot="1" x14ac:dyDescent="0.3">
      <c r="A173" s="644" t="s">
        <v>943</v>
      </c>
      <c r="B173" s="643" t="s">
        <v>942</v>
      </c>
      <c r="C173" s="645" t="s">
        <v>835</v>
      </c>
      <c r="D173" s="646">
        <v>20060101</v>
      </c>
      <c r="E173" s="646">
        <v>20060101</v>
      </c>
      <c r="F173" s="639"/>
      <c r="G173" s="45"/>
      <c r="H173"/>
    </row>
    <row r="174" spans="1:8" ht="14.4" thickBot="1" x14ac:dyDescent="0.3">
      <c r="A174" s="644" t="s">
        <v>945</v>
      </c>
      <c r="B174" s="643" t="s">
        <v>944</v>
      </c>
      <c r="C174" s="645" t="s">
        <v>835</v>
      </c>
      <c r="D174" s="646">
        <v>20080101</v>
      </c>
      <c r="E174" s="646">
        <v>20080101</v>
      </c>
      <c r="F174" s="639"/>
      <c r="G174" s="45"/>
      <c r="H174"/>
    </row>
    <row r="175" spans="1:8" ht="14.4" thickBot="1" x14ac:dyDescent="0.3">
      <c r="A175" s="644" t="s">
        <v>947</v>
      </c>
      <c r="B175" s="643" t="s">
        <v>946</v>
      </c>
      <c r="C175" s="645" t="s">
        <v>827</v>
      </c>
      <c r="D175" s="646">
        <v>19930101</v>
      </c>
      <c r="E175" s="646">
        <v>19960101</v>
      </c>
      <c r="F175" s="639"/>
      <c r="G175" s="45"/>
      <c r="H175"/>
    </row>
    <row r="176" spans="1:8" ht="14.4" thickBot="1" x14ac:dyDescent="0.3">
      <c r="A176" s="644" t="s">
        <v>949</v>
      </c>
      <c r="B176" s="643" t="s">
        <v>948</v>
      </c>
      <c r="C176" s="645" t="s">
        <v>827</v>
      </c>
      <c r="D176" s="646">
        <v>20030101</v>
      </c>
      <c r="E176" s="646">
        <v>20050101</v>
      </c>
      <c r="F176" s="639"/>
      <c r="G176" s="45"/>
      <c r="H176"/>
    </row>
    <row r="177" spans="1:8" ht="14.4" thickBot="1" x14ac:dyDescent="0.3">
      <c r="A177" s="644" t="s">
        <v>951</v>
      </c>
      <c r="B177" s="643" t="s">
        <v>950</v>
      </c>
      <c r="C177" s="645" t="s">
        <v>835</v>
      </c>
      <c r="D177" s="646">
        <v>20060101</v>
      </c>
      <c r="E177" s="646">
        <v>20060101</v>
      </c>
      <c r="F177" s="639"/>
      <c r="G177" s="45"/>
      <c r="H177"/>
    </row>
    <row r="178" spans="1:8" ht="14.4" thickBot="1" x14ac:dyDescent="0.3">
      <c r="A178" s="644" t="s">
        <v>953</v>
      </c>
      <c r="B178" s="643" t="s">
        <v>952</v>
      </c>
      <c r="C178" s="645" t="s">
        <v>827</v>
      </c>
      <c r="D178" s="646">
        <v>20030101</v>
      </c>
      <c r="E178" s="646">
        <v>20050101</v>
      </c>
      <c r="F178" s="639"/>
      <c r="G178" s="45"/>
      <c r="H178"/>
    </row>
    <row r="179" spans="1:8" ht="42" thickBot="1" x14ac:dyDescent="0.3">
      <c r="A179" s="644" t="s">
        <v>955</v>
      </c>
      <c r="B179" s="643" t="s">
        <v>954</v>
      </c>
      <c r="C179" s="645" t="s">
        <v>827</v>
      </c>
      <c r="D179" s="646">
        <v>20020101</v>
      </c>
      <c r="E179" s="646">
        <v>20020701</v>
      </c>
      <c r="F179" s="639"/>
      <c r="G179" s="45"/>
      <c r="H179"/>
    </row>
    <row r="180" spans="1:8" ht="28.2" thickBot="1" x14ac:dyDescent="0.3">
      <c r="A180" s="644" t="s">
        <v>957</v>
      </c>
      <c r="B180" s="643" t="s">
        <v>956</v>
      </c>
      <c r="C180" s="645" t="s">
        <v>827</v>
      </c>
      <c r="D180" s="646">
        <v>20020101</v>
      </c>
      <c r="E180" s="646">
        <v>20020701</v>
      </c>
      <c r="F180" s="639"/>
      <c r="G180" s="45"/>
      <c r="H180"/>
    </row>
    <row r="181" spans="1:8" ht="14.4" thickBot="1" x14ac:dyDescent="0.3">
      <c r="A181" s="644" t="s">
        <v>959</v>
      </c>
      <c r="B181" s="643" t="s">
        <v>958</v>
      </c>
      <c r="C181" s="645" t="s">
        <v>827</v>
      </c>
      <c r="D181" s="646">
        <v>20040101</v>
      </c>
      <c r="E181" s="646">
        <v>20060101</v>
      </c>
      <c r="F181" s="639"/>
      <c r="G181" s="45"/>
      <c r="H181"/>
    </row>
    <row r="182" spans="1:8" ht="14.4" thickBot="1" x14ac:dyDescent="0.3">
      <c r="A182" s="644" t="s">
        <v>961</v>
      </c>
      <c r="B182" s="643" t="s">
        <v>960</v>
      </c>
      <c r="C182" s="645" t="s">
        <v>827</v>
      </c>
      <c r="D182" s="646">
        <v>19860101</v>
      </c>
      <c r="E182" s="646">
        <v>19960101</v>
      </c>
      <c r="F182" s="639"/>
      <c r="G182" s="45"/>
      <c r="H182"/>
    </row>
    <row r="183" spans="1:8" ht="14.4" thickBot="1" x14ac:dyDescent="0.3">
      <c r="A183" s="644" t="s">
        <v>963</v>
      </c>
      <c r="B183" s="643" t="s">
        <v>962</v>
      </c>
      <c r="C183" s="645" t="s">
        <v>827</v>
      </c>
      <c r="D183" s="646">
        <v>19860101</v>
      </c>
      <c r="E183" s="646">
        <v>19960101</v>
      </c>
      <c r="F183" s="639"/>
      <c r="G183" s="45"/>
      <c r="H183"/>
    </row>
    <row r="184" spans="1:8" ht="14.4" thickBot="1" x14ac:dyDescent="0.3">
      <c r="A184" s="644" t="s">
        <v>965</v>
      </c>
      <c r="B184" s="643" t="s">
        <v>964</v>
      </c>
      <c r="C184" s="645" t="s">
        <v>827</v>
      </c>
      <c r="D184" s="646">
        <v>19860101</v>
      </c>
      <c r="E184" s="646">
        <v>19960101</v>
      </c>
      <c r="F184" s="639"/>
      <c r="G184" s="45"/>
      <c r="H184"/>
    </row>
    <row r="185" spans="1:8" ht="14.4" thickBot="1" x14ac:dyDescent="0.3">
      <c r="A185" s="644" t="s">
        <v>967</v>
      </c>
      <c r="B185" s="643" t="s">
        <v>966</v>
      </c>
      <c r="C185" s="645" t="s">
        <v>827</v>
      </c>
      <c r="D185" s="646">
        <v>19860101</v>
      </c>
      <c r="E185" s="646">
        <v>19960101</v>
      </c>
      <c r="F185" s="639"/>
      <c r="G185" s="45"/>
      <c r="H185"/>
    </row>
    <row r="186" spans="1:8" ht="14.4" thickBot="1" x14ac:dyDescent="0.3">
      <c r="A186" s="644" t="s">
        <v>969</v>
      </c>
      <c r="B186" s="643" t="s">
        <v>968</v>
      </c>
      <c r="C186" s="645" t="s">
        <v>827</v>
      </c>
      <c r="D186" s="646">
        <v>19860101</v>
      </c>
      <c r="E186" s="646">
        <v>19960101</v>
      </c>
      <c r="F186" s="639"/>
      <c r="G186" s="45"/>
      <c r="H186"/>
    </row>
    <row r="187" spans="1:8" ht="28.2" thickBot="1" x14ac:dyDescent="0.3">
      <c r="A187" s="644" t="s">
        <v>971</v>
      </c>
      <c r="B187" s="643" t="s">
        <v>970</v>
      </c>
      <c r="C187" s="645" t="s">
        <v>827</v>
      </c>
      <c r="D187" s="646">
        <v>19860101</v>
      </c>
      <c r="E187" s="646">
        <v>19930101</v>
      </c>
      <c r="F187" s="639"/>
      <c r="G187" s="45"/>
      <c r="H187"/>
    </row>
    <row r="188" spans="1:8" ht="14.4" thickBot="1" x14ac:dyDescent="0.3">
      <c r="A188" s="644" t="s">
        <v>973</v>
      </c>
      <c r="B188" s="643" t="s">
        <v>972</v>
      </c>
      <c r="C188" s="645" t="s">
        <v>827</v>
      </c>
      <c r="D188" s="646">
        <v>19860101</v>
      </c>
      <c r="E188" s="646">
        <v>19890101</v>
      </c>
      <c r="F188" s="639"/>
      <c r="G188" s="45"/>
      <c r="H188"/>
    </row>
    <row r="189" spans="1:8" ht="14.4" thickBot="1" x14ac:dyDescent="0.3">
      <c r="A189" s="644" t="s">
        <v>975</v>
      </c>
      <c r="B189" s="643" t="s">
        <v>974</v>
      </c>
      <c r="C189" s="645" t="s">
        <v>827</v>
      </c>
      <c r="D189" s="646">
        <v>19860101</v>
      </c>
      <c r="E189" s="646">
        <v>19890101</v>
      </c>
      <c r="F189" s="639"/>
      <c r="G189" s="45"/>
      <c r="H189"/>
    </row>
    <row r="190" spans="1:8" ht="14.4" thickBot="1" x14ac:dyDescent="0.3">
      <c r="A190" s="644" t="s">
        <v>977</v>
      </c>
      <c r="B190" s="643" t="s">
        <v>976</v>
      </c>
      <c r="C190" s="645" t="s">
        <v>827</v>
      </c>
      <c r="D190" s="646">
        <v>19860101</v>
      </c>
      <c r="E190" s="646">
        <v>19970101</v>
      </c>
      <c r="F190" s="639"/>
      <c r="G190" s="45"/>
      <c r="H190"/>
    </row>
    <row r="191" spans="1:8" ht="28.2" thickBot="1" x14ac:dyDescent="0.3">
      <c r="A191" s="644" t="s">
        <v>979</v>
      </c>
      <c r="B191" s="643" t="s">
        <v>978</v>
      </c>
      <c r="C191" s="645" t="s">
        <v>827</v>
      </c>
      <c r="D191" s="646">
        <v>20110101</v>
      </c>
      <c r="E191" s="646">
        <v>20110101</v>
      </c>
      <c r="F191" s="639"/>
      <c r="G191" s="45"/>
      <c r="H191"/>
    </row>
    <row r="192" spans="1:8" ht="14.4" thickBot="1" x14ac:dyDescent="0.3">
      <c r="A192" s="644" t="s">
        <v>981</v>
      </c>
      <c r="B192" s="643" t="s">
        <v>980</v>
      </c>
      <c r="C192" s="645" t="s">
        <v>830</v>
      </c>
      <c r="D192" s="646">
        <v>19900101</v>
      </c>
      <c r="E192" s="646">
        <v>20140101</v>
      </c>
      <c r="F192" s="639"/>
      <c r="G192" s="45"/>
      <c r="H192"/>
    </row>
    <row r="193" spans="1:8" ht="14.4" thickBot="1" x14ac:dyDescent="0.3">
      <c r="A193" s="644" t="s">
        <v>983</v>
      </c>
      <c r="B193" s="643" t="s">
        <v>982</v>
      </c>
      <c r="C193" s="645" t="s">
        <v>830</v>
      </c>
      <c r="D193" s="646">
        <v>19900101</v>
      </c>
      <c r="E193" s="646">
        <v>20140101</v>
      </c>
      <c r="F193" s="639"/>
      <c r="G193" s="45"/>
      <c r="H193"/>
    </row>
    <row r="194" spans="1:8" ht="28.2" thickBot="1" x14ac:dyDescent="0.3">
      <c r="A194" s="644" t="s">
        <v>985</v>
      </c>
      <c r="B194" s="643" t="s">
        <v>984</v>
      </c>
      <c r="C194" s="645" t="s">
        <v>827</v>
      </c>
      <c r="D194" s="646">
        <v>20020101</v>
      </c>
      <c r="E194" s="646">
        <v>20020701</v>
      </c>
      <c r="F194" s="639"/>
      <c r="G194" s="45"/>
      <c r="H194"/>
    </row>
    <row r="195" spans="1:8" ht="14.4" thickBot="1" x14ac:dyDescent="0.3">
      <c r="A195" s="644" t="s">
        <v>987</v>
      </c>
      <c r="B195" s="643" t="s">
        <v>986</v>
      </c>
      <c r="C195" s="645" t="s">
        <v>827</v>
      </c>
      <c r="D195" s="646">
        <v>19860101</v>
      </c>
      <c r="E195" s="646">
        <v>20050101</v>
      </c>
      <c r="F195" s="639"/>
      <c r="G195" s="45"/>
      <c r="H195"/>
    </row>
    <row r="196" spans="1:8" ht="42" thickBot="1" x14ac:dyDescent="0.3">
      <c r="A196" s="644" t="s">
        <v>989</v>
      </c>
      <c r="B196" s="643" t="s">
        <v>988</v>
      </c>
      <c r="C196" s="645" t="s">
        <v>827</v>
      </c>
      <c r="D196" s="646">
        <v>20040101</v>
      </c>
      <c r="E196" s="646">
        <v>20120101</v>
      </c>
      <c r="F196" s="639"/>
      <c r="G196" s="45"/>
      <c r="H196"/>
    </row>
    <row r="197" spans="1:8" ht="42" thickBot="1" x14ac:dyDescent="0.3">
      <c r="A197" s="644" t="s">
        <v>991</v>
      </c>
      <c r="B197" s="643" t="s">
        <v>990</v>
      </c>
      <c r="C197" s="645" t="s">
        <v>827</v>
      </c>
      <c r="D197" s="646">
        <v>20040101</v>
      </c>
      <c r="E197" s="646">
        <v>20120101</v>
      </c>
      <c r="F197" s="639"/>
      <c r="G197" s="45"/>
      <c r="H197"/>
    </row>
    <row r="198" spans="1:8" ht="28.2" thickBot="1" x14ac:dyDescent="0.3">
      <c r="A198" s="644" t="s">
        <v>993</v>
      </c>
      <c r="B198" s="643" t="s">
        <v>992</v>
      </c>
      <c r="C198" s="645" t="s">
        <v>827</v>
      </c>
      <c r="D198" s="646">
        <v>20060101</v>
      </c>
      <c r="E198" s="646">
        <v>20120101</v>
      </c>
      <c r="F198" s="639"/>
      <c r="G198" s="45"/>
      <c r="H198"/>
    </row>
    <row r="199" spans="1:8" ht="28.2" thickBot="1" x14ac:dyDescent="0.3">
      <c r="A199" s="644" t="s">
        <v>995</v>
      </c>
      <c r="B199" s="643" t="s">
        <v>994</v>
      </c>
      <c r="C199" s="645" t="s">
        <v>827</v>
      </c>
      <c r="D199" s="646">
        <v>20060101</v>
      </c>
      <c r="E199" s="646">
        <v>20120101</v>
      </c>
      <c r="F199" s="639"/>
      <c r="G199" s="45"/>
      <c r="H199"/>
    </row>
    <row r="200" spans="1:8" ht="14.4" thickBot="1" x14ac:dyDescent="0.3">
      <c r="A200" s="644" t="s">
        <v>997</v>
      </c>
      <c r="B200" s="643" t="s">
        <v>996</v>
      </c>
      <c r="C200" s="646" t="s">
        <v>830</v>
      </c>
      <c r="D200" s="639"/>
      <c r="E200" s="639"/>
      <c r="F200" s="639"/>
      <c r="G200" s="45"/>
      <c r="H200"/>
    </row>
    <row r="201" spans="1:8" ht="28.2" thickBot="1" x14ac:dyDescent="0.3">
      <c r="A201" s="644" t="s">
        <v>999</v>
      </c>
      <c r="B201" s="643" t="s">
        <v>998</v>
      </c>
      <c r="C201" s="645" t="s">
        <v>827</v>
      </c>
      <c r="D201" s="646">
        <v>20070101</v>
      </c>
      <c r="E201" s="646">
        <v>20070101</v>
      </c>
      <c r="F201" s="639"/>
      <c r="G201" s="45"/>
      <c r="H201"/>
    </row>
    <row r="202" spans="1:8" ht="14.4" thickBot="1" x14ac:dyDescent="0.3">
      <c r="A202" s="644" t="s">
        <v>1001</v>
      </c>
      <c r="B202" s="643" t="s">
        <v>1000</v>
      </c>
      <c r="C202" s="645" t="s">
        <v>830</v>
      </c>
      <c r="D202" s="646">
        <v>19860101</v>
      </c>
      <c r="E202" s="646">
        <v>20010401</v>
      </c>
      <c r="F202" s="639"/>
      <c r="G202" s="45"/>
      <c r="H202"/>
    </row>
    <row r="203" spans="1:8" ht="28.2" thickBot="1" x14ac:dyDescent="0.3">
      <c r="A203" s="644" t="s">
        <v>1003</v>
      </c>
      <c r="B203" s="643" t="s">
        <v>1002</v>
      </c>
      <c r="C203" s="645" t="s">
        <v>830</v>
      </c>
      <c r="D203" s="646">
        <v>19860101</v>
      </c>
      <c r="E203" s="646">
        <v>20010401</v>
      </c>
      <c r="F203" s="639"/>
      <c r="G203" s="45"/>
      <c r="H203"/>
    </row>
    <row r="204" spans="1:8" ht="28.2" thickBot="1" x14ac:dyDescent="0.3">
      <c r="A204" s="644" t="s">
        <v>1005</v>
      </c>
      <c r="B204" s="643" t="s">
        <v>1004</v>
      </c>
      <c r="C204" s="645" t="s">
        <v>830</v>
      </c>
      <c r="D204" s="646">
        <v>19860101</v>
      </c>
      <c r="E204" s="646">
        <v>20010401</v>
      </c>
      <c r="F204" s="639"/>
      <c r="G204" s="45"/>
      <c r="H204"/>
    </row>
    <row r="205" spans="1:8" ht="28.2" thickBot="1" x14ac:dyDescent="0.3">
      <c r="A205" s="644" t="s">
        <v>1007</v>
      </c>
      <c r="B205" s="643" t="s">
        <v>1006</v>
      </c>
      <c r="C205" s="645" t="s">
        <v>830</v>
      </c>
      <c r="D205" s="646">
        <v>19860101</v>
      </c>
      <c r="E205" s="646">
        <v>20010401</v>
      </c>
      <c r="F205" s="639"/>
      <c r="G205" s="45"/>
      <c r="H205"/>
    </row>
    <row r="206" spans="1:8" ht="28.2" thickBot="1" x14ac:dyDescent="0.3">
      <c r="A206" s="644" t="s">
        <v>1009</v>
      </c>
      <c r="B206" s="643" t="s">
        <v>1008</v>
      </c>
      <c r="C206" s="645" t="s">
        <v>830</v>
      </c>
      <c r="D206" s="646">
        <v>19860101</v>
      </c>
      <c r="E206" s="646">
        <v>20010401</v>
      </c>
      <c r="F206" s="639"/>
      <c r="G206" s="45"/>
      <c r="H206"/>
    </row>
    <row r="207" spans="1:8" ht="28.2" thickBot="1" x14ac:dyDescent="0.3">
      <c r="A207" s="644" t="s">
        <v>1011</v>
      </c>
      <c r="B207" s="643" t="s">
        <v>1010</v>
      </c>
      <c r="C207" s="645" t="s">
        <v>830</v>
      </c>
      <c r="D207" s="646">
        <v>19860101</v>
      </c>
      <c r="E207" s="646">
        <v>20010401</v>
      </c>
      <c r="F207" s="639"/>
      <c r="G207" s="45"/>
      <c r="H207"/>
    </row>
    <row r="208" spans="1:8" ht="28.2" thickBot="1" x14ac:dyDescent="0.3">
      <c r="A208" s="644" t="s">
        <v>1013</v>
      </c>
      <c r="B208" s="643" t="s">
        <v>1012</v>
      </c>
      <c r="C208" s="645" t="s">
        <v>830</v>
      </c>
      <c r="D208" s="646">
        <v>19860101</v>
      </c>
      <c r="E208" s="646">
        <v>20010401</v>
      </c>
      <c r="F208" s="639"/>
      <c r="G208" s="45"/>
      <c r="H208"/>
    </row>
    <row r="209" spans="1:8" ht="28.2" thickBot="1" x14ac:dyDescent="0.3">
      <c r="A209" s="644" t="s">
        <v>1015</v>
      </c>
      <c r="B209" s="643" t="s">
        <v>1014</v>
      </c>
      <c r="C209" s="645" t="s">
        <v>830</v>
      </c>
      <c r="D209" s="646">
        <v>19860101</v>
      </c>
      <c r="E209" s="646">
        <v>20010401</v>
      </c>
      <c r="F209" s="639"/>
      <c r="G209" s="45"/>
      <c r="H209"/>
    </row>
    <row r="210" spans="1:8" ht="28.2" thickBot="1" x14ac:dyDescent="0.3">
      <c r="A210" s="644" t="s">
        <v>1017</v>
      </c>
      <c r="B210" s="643" t="s">
        <v>1016</v>
      </c>
      <c r="C210" s="645" t="s">
        <v>830</v>
      </c>
      <c r="D210" s="646">
        <v>19860101</v>
      </c>
      <c r="E210" s="646">
        <v>20010401</v>
      </c>
      <c r="F210" s="639"/>
      <c r="G210" s="45"/>
      <c r="H210"/>
    </row>
    <row r="211" spans="1:8" ht="28.2" thickBot="1" x14ac:dyDescent="0.3">
      <c r="A211" s="644" t="s">
        <v>1019</v>
      </c>
      <c r="B211" s="643" t="s">
        <v>1018</v>
      </c>
      <c r="C211" s="645" t="s">
        <v>830</v>
      </c>
      <c r="D211" s="646">
        <v>19860101</v>
      </c>
      <c r="E211" s="646">
        <v>20010401</v>
      </c>
      <c r="F211" s="639"/>
      <c r="G211" s="45"/>
      <c r="H211"/>
    </row>
    <row r="212" spans="1:8" ht="28.2" thickBot="1" x14ac:dyDescent="0.3">
      <c r="A212" s="644" t="s">
        <v>1021</v>
      </c>
      <c r="B212" s="643" t="s">
        <v>1020</v>
      </c>
      <c r="C212" s="645" t="s">
        <v>830</v>
      </c>
      <c r="D212" s="646">
        <v>19860101</v>
      </c>
      <c r="E212" s="646">
        <v>20010401</v>
      </c>
      <c r="F212" s="639"/>
      <c r="G212" s="45"/>
      <c r="H212"/>
    </row>
    <row r="213" spans="1:8" ht="14.4" thickBot="1" x14ac:dyDescent="0.3">
      <c r="A213" s="644" t="s">
        <v>1023</v>
      </c>
      <c r="B213" s="643" t="s">
        <v>1022</v>
      </c>
      <c r="C213" s="645" t="s">
        <v>827</v>
      </c>
      <c r="D213" s="646">
        <v>19860101</v>
      </c>
      <c r="E213" s="646">
        <v>19960101</v>
      </c>
      <c r="F213" s="639"/>
      <c r="G213" s="45"/>
      <c r="H213"/>
    </row>
    <row r="214" spans="1:8" ht="28.2" thickBot="1" x14ac:dyDescent="0.3">
      <c r="A214" s="644" t="s">
        <v>1025</v>
      </c>
      <c r="B214" s="643" t="s">
        <v>1024</v>
      </c>
      <c r="C214" s="646" t="s">
        <v>827</v>
      </c>
      <c r="D214" s="639"/>
      <c r="E214" s="639"/>
      <c r="F214" s="639"/>
      <c r="G214" s="45"/>
      <c r="H214"/>
    </row>
    <row r="215" spans="1:8" ht="14.4" thickBot="1" x14ac:dyDescent="0.3">
      <c r="A215" s="644" t="s">
        <v>1027</v>
      </c>
      <c r="B215" s="643" t="s">
        <v>1026</v>
      </c>
      <c r="C215" s="646" t="s">
        <v>827</v>
      </c>
      <c r="D215" s="639"/>
      <c r="E215" s="639"/>
      <c r="F215" s="639"/>
      <c r="G215" s="45"/>
      <c r="H215"/>
    </row>
    <row r="216" spans="1:8" ht="28.2" thickBot="1" x14ac:dyDescent="0.3">
      <c r="A216" s="644" t="s">
        <v>1029</v>
      </c>
      <c r="B216" s="643" t="s">
        <v>1028</v>
      </c>
      <c r="C216" s="645" t="s">
        <v>830</v>
      </c>
      <c r="D216" s="646">
        <v>20050101</v>
      </c>
      <c r="E216" s="646">
        <v>20050101</v>
      </c>
      <c r="F216" s="639"/>
      <c r="G216" s="45"/>
      <c r="H216"/>
    </row>
    <row r="217" spans="1:8" ht="28.2" thickBot="1" x14ac:dyDescent="0.3">
      <c r="A217" s="644" t="s">
        <v>1031</v>
      </c>
      <c r="B217" s="643" t="s">
        <v>1030</v>
      </c>
      <c r="C217" s="645" t="s">
        <v>830</v>
      </c>
      <c r="D217" s="646">
        <v>20050101</v>
      </c>
      <c r="E217" s="646">
        <v>20050101</v>
      </c>
      <c r="F217" s="639"/>
      <c r="G217" s="45"/>
      <c r="H217"/>
    </row>
    <row r="218" spans="1:8" ht="28.2" thickBot="1" x14ac:dyDescent="0.3">
      <c r="A218" s="644" t="s">
        <v>1033</v>
      </c>
      <c r="B218" s="643" t="s">
        <v>1032</v>
      </c>
      <c r="C218" s="645" t="s">
        <v>830</v>
      </c>
      <c r="D218" s="646">
        <v>20050101</v>
      </c>
      <c r="E218" s="646">
        <v>20050101</v>
      </c>
      <c r="F218" s="639"/>
      <c r="G218" s="45"/>
      <c r="H218"/>
    </row>
    <row r="219" spans="1:8" ht="14.4" thickBot="1" x14ac:dyDescent="0.3">
      <c r="A219" s="644" t="s">
        <v>1035</v>
      </c>
      <c r="B219" s="643" t="s">
        <v>1034</v>
      </c>
      <c r="C219" s="646" t="s">
        <v>827</v>
      </c>
      <c r="D219" s="639"/>
      <c r="E219" s="639"/>
      <c r="F219" s="639"/>
      <c r="G219" s="45"/>
      <c r="H219"/>
    </row>
    <row r="220" spans="1:8" ht="14.4" thickBot="1" x14ac:dyDescent="0.3">
      <c r="A220" s="644" t="s">
        <v>1037</v>
      </c>
      <c r="B220" s="643" t="s">
        <v>1036</v>
      </c>
      <c r="C220" s="646" t="s">
        <v>827</v>
      </c>
      <c r="D220" s="639"/>
      <c r="E220" s="639"/>
      <c r="F220" s="639"/>
      <c r="G220" s="45"/>
      <c r="H220"/>
    </row>
    <row r="221" spans="1:8" ht="14.4" thickBot="1" x14ac:dyDescent="0.3">
      <c r="A221" s="644" t="s">
        <v>1039</v>
      </c>
      <c r="B221" s="643" t="s">
        <v>1038</v>
      </c>
      <c r="C221" s="646" t="s">
        <v>827</v>
      </c>
      <c r="D221" s="639"/>
      <c r="E221" s="639"/>
      <c r="F221" s="639"/>
      <c r="G221" s="45"/>
      <c r="H221"/>
    </row>
    <row r="222" spans="1:8" ht="14.4" thickBot="1" x14ac:dyDescent="0.3">
      <c r="A222" s="644" t="s">
        <v>1041</v>
      </c>
      <c r="B222" s="643" t="s">
        <v>1040</v>
      </c>
      <c r="C222" s="646" t="s">
        <v>827</v>
      </c>
      <c r="D222" s="639"/>
      <c r="E222" s="639"/>
      <c r="F222" s="639"/>
      <c r="G222" s="45"/>
      <c r="H222"/>
    </row>
    <row r="223" spans="1:8" ht="14.4" thickBot="1" x14ac:dyDescent="0.3">
      <c r="A223" s="644" t="s">
        <v>1043</v>
      </c>
      <c r="B223" s="643" t="s">
        <v>1042</v>
      </c>
      <c r="C223" s="646" t="s">
        <v>827</v>
      </c>
      <c r="D223" s="639"/>
      <c r="E223" s="639"/>
      <c r="F223" s="639"/>
      <c r="G223" s="45"/>
      <c r="H223"/>
    </row>
    <row r="224" spans="1:8" ht="14.4" thickBot="1" x14ac:dyDescent="0.3">
      <c r="A224" s="644" t="s">
        <v>1043</v>
      </c>
      <c r="B224" s="643" t="s">
        <v>1044</v>
      </c>
      <c r="C224" s="646" t="s">
        <v>827</v>
      </c>
      <c r="D224" s="639"/>
      <c r="E224" s="639"/>
      <c r="F224" s="639"/>
      <c r="G224" s="45"/>
      <c r="H224"/>
    </row>
    <row r="225" spans="1:8" ht="14.4" thickBot="1" x14ac:dyDescent="0.3">
      <c r="A225" s="644" t="s">
        <v>1046</v>
      </c>
      <c r="B225" s="643" t="s">
        <v>1045</v>
      </c>
      <c r="C225" s="646" t="s">
        <v>827</v>
      </c>
      <c r="D225" s="639"/>
      <c r="E225" s="639"/>
      <c r="F225" s="639"/>
      <c r="G225" s="45"/>
      <c r="H225"/>
    </row>
    <row r="226" spans="1:8" ht="14.4" thickBot="1" x14ac:dyDescent="0.3">
      <c r="A226" s="644" t="s">
        <v>1048</v>
      </c>
      <c r="B226" s="643" t="s">
        <v>1047</v>
      </c>
      <c r="C226" s="646" t="s">
        <v>827</v>
      </c>
      <c r="D226" s="639"/>
      <c r="E226" s="639"/>
      <c r="F226" s="639"/>
      <c r="G226" s="45"/>
      <c r="H226"/>
    </row>
    <row r="227" spans="1:8" ht="48.6" customHeight="1" thickBot="1" x14ac:dyDescent="0.3">
      <c r="A227" s="644" t="s">
        <v>1050</v>
      </c>
      <c r="B227" s="643" t="s">
        <v>1049</v>
      </c>
      <c r="C227" s="646" t="s">
        <v>827</v>
      </c>
      <c r="D227" s="639"/>
      <c r="E227" s="639"/>
      <c r="F227" s="639"/>
      <c r="G227" s="45"/>
      <c r="H227"/>
    </row>
    <row r="228" spans="1:8" ht="46.8" customHeight="1" thickBot="1" x14ac:dyDescent="0.3">
      <c r="A228" s="644" t="s">
        <v>1052</v>
      </c>
      <c r="B228" s="643" t="s">
        <v>1051</v>
      </c>
      <c r="C228" s="646" t="s">
        <v>827</v>
      </c>
      <c r="D228" s="639"/>
      <c r="E228" s="639"/>
      <c r="F228" s="639"/>
      <c r="G228" s="45"/>
      <c r="H228"/>
    </row>
    <row r="229" spans="1:8" ht="14.4" thickBot="1" x14ac:dyDescent="0.3">
      <c r="A229" s="644" t="s">
        <v>1054</v>
      </c>
      <c r="B229" s="643" t="s">
        <v>1053</v>
      </c>
      <c r="C229" s="646" t="s">
        <v>827</v>
      </c>
      <c r="D229" s="639"/>
      <c r="E229" s="639"/>
      <c r="F229" s="639"/>
      <c r="G229" s="45"/>
      <c r="H229"/>
    </row>
    <row r="230" spans="1:8" ht="14.4" thickBot="1" x14ac:dyDescent="0.3">
      <c r="A230" s="644" t="s">
        <v>1056</v>
      </c>
      <c r="B230" s="643" t="s">
        <v>1055</v>
      </c>
      <c r="C230" s="646" t="s">
        <v>827</v>
      </c>
      <c r="D230" s="639"/>
      <c r="E230" s="639"/>
      <c r="F230" s="639"/>
      <c r="G230" s="45"/>
      <c r="H230"/>
    </row>
    <row r="231" spans="1:8" ht="14.4" thickBot="1" x14ac:dyDescent="0.3">
      <c r="A231" s="644" t="s">
        <v>1058</v>
      </c>
      <c r="B231" s="643" t="s">
        <v>1057</v>
      </c>
      <c r="C231" s="646" t="s">
        <v>827</v>
      </c>
      <c r="D231" s="639"/>
      <c r="E231" s="639"/>
      <c r="F231" s="639"/>
      <c r="G231" s="45"/>
      <c r="H231"/>
    </row>
    <row r="232" spans="1:8" ht="28.2" thickBot="1" x14ac:dyDescent="0.3">
      <c r="A232" s="644" t="s">
        <v>1060</v>
      </c>
      <c r="B232" s="643" t="s">
        <v>1059</v>
      </c>
      <c r="C232" s="645" t="s">
        <v>827</v>
      </c>
      <c r="D232" s="646">
        <v>20090401</v>
      </c>
      <c r="E232" s="646">
        <v>20090401</v>
      </c>
      <c r="F232" s="639"/>
      <c r="G232" s="45"/>
      <c r="H232"/>
    </row>
    <row r="233" spans="1:8" ht="43.8" customHeight="1" thickBot="1" x14ac:dyDescent="0.3">
      <c r="A233" s="644" t="s">
        <v>1062</v>
      </c>
      <c r="B233" s="643" t="s">
        <v>1061</v>
      </c>
      <c r="C233" s="646" t="s">
        <v>827</v>
      </c>
      <c r="D233" s="639"/>
      <c r="E233" s="639"/>
      <c r="F233" s="639"/>
      <c r="G233" s="45"/>
      <c r="H233"/>
    </row>
    <row r="234" spans="1:8" ht="14.4" thickBot="1" x14ac:dyDescent="0.3">
      <c r="A234" s="644" t="s">
        <v>1064</v>
      </c>
      <c r="B234" s="643" t="s">
        <v>1063</v>
      </c>
      <c r="C234" s="646" t="s">
        <v>827</v>
      </c>
      <c r="D234" s="639"/>
      <c r="E234" s="639"/>
      <c r="F234" s="639"/>
      <c r="G234" s="45"/>
      <c r="H234"/>
    </row>
    <row r="235" spans="1:8" ht="14.4" thickBot="1" x14ac:dyDescent="0.3">
      <c r="A235" s="644" t="s">
        <v>1066</v>
      </c>
      <c r="B235" s="643" t="s">
        <v>1065</v>
      </c>
      <c r="C235" s="646" t="s">
        <v>827</v>
      </c>
      <c r="D235" s="639"/>
      <c r="E235" s="639"/>
      <c r="F235" s="639"/>
      <c r="G235" s="45"/>
      <c r="H235"/>
    </row>
    <row r="236" spans="1:8" ht="14.4" thickBot="1" x14ac:dyDescent="0.3">
      <c r="A236" s="644" t="s">
        <v>1068</v>
      </c>
      <c r="B236" s="643" t="s">
        <v>1067</v>
      </c>
      <c r="C236" s="646" t="s">
        <v>827</v>
      </c>
      <c r="D236" s="639"/>
      <c r="E236" s="639"/>
      <c r="F236" s="639"/>
      <c r="G236" s="45"/>
      <c r="H236"/>
    </row>
    <row r="237" spans="1:8" ht="14.4" thickBot="1" x14ac:dyDescent="0.3">
      <c r="A237" s="644" t="s">
        <v>1070</v>
      </c>
      <c r="B237" s="643" t="s">
        <v>1069</v>
      </c>
      <c r="C237" s="646" t="s">
        <v>827</v>
      </c>
      <c r="D237" s="639"/>
      <c r="E237" s="639"/>
      <c r="F237" s="639"/>
      <c r="G237" s="45"/>
      <c r="H237"/>
    </row>
    <row r="238" spans="1:8" ht="14.4" thickBot="1" x14ac:dyDescent="0.3">
      <c r="A238" s="644" t="s">
        <v>1035</v>
      </c>
      <c r="B238" s="643" t="s">
        <v>1071</v>
      </c>
      <c r="C238" s="646" t="s">
        <v>827</v>
      </c>
      <c r="D238" s="639"/>
      <c r="E238" s="639"/>
      <c r="F238" s="639"/>
      <c r="G238" s="45"/>
      <c r="H238"/>
    </row>
    <row r="239" spans="1:8" ht="14.4" thickBot="1" x14ac:dyDescent="0.3">
      <c r="A239" s="644" t="s">
        <v>1073</v>
      </c>
      <c r="B239" s="643" t="s">
        <v>1072</v>
      </c>
      <c r="C239" s="645" t="s">
        <v>827</v>
      </c>
      <c r="D239" s="646">
        <v>20000101</v>
      </c>
      <c r="E239" s="646">
        <v>20000101</v>
      </c>
      <c r="F239" s="639"/>
      <c r="G239" s="45"/>
      <c r="H239"/>
    </row>
    <row r="240" spans="1:8" ht="28.2" thickBot="1" x14ac:dyDescent="0.3">
      <c r="A240" s="644" t="s">
        <v>1074</v>
      </c>
      <c r="B240" s="643" t="s">
        <v>479</v>
      </c>
      <c r="C240" s="645" t="s">
        <v>830</v>
      </c>
      <c r="D240" s="646">
        <v>20010701</v>
      </c>
      <c r="E240" s="646">
        <v>20010701</v>
      </c>
      <c r="F240" s="639"/>
      <c r="G240" s="45"/>
      <c r="H240"/>
    </row>
    <row r="241" spans="1:8" ht="14.4" thickBot="1" x14ac:dyDescent="0.3">
      <c r="A241" s="644" t="s">
        <v>1076</v>
      </c>
      <c r="B241" s="643" t="s">
        <v>1075</v>
      </c>
      <c r="C241" s="645" t="s">
        <v>830</v>
      </c>
      <c r="D241" s="646">
        <v>20010701</v>
      </c>
      <c r="E241" s="646">
        <v>20010701</v>
      </c>
      <c r="F241" s="639"/>
      <c r="G241" s="45"/>
      <c r="H241"/>
    </row>
    <row r="242" spans="1:8" ht="14.4" thickBot="1" x14ac:dyDescent="0.3">
      <c r="A242" s="644" t="s">
        <v>1078</v>
      </c>
      <c r="B242" s="643" t="s">
        <v>1077</v>
      </c>
      <c r="C242" s="645" t="s">
        <v>830</v>
      </c>
      <c r="D242" s="646">
        <v>20010701</v>
      </c>
      <c r="E242" s="646">
        <v>20010701</v>
      </c>
      <c r="F242" s="639"/>
      <c r="G242" s="45"/>
      <c r="H242"/>
    </row>
    <row r="243" spans="1:8" ht="14.4" thickBot="1" x14ac:dyDescent="0.3">
      <c r="A243" s="644" t="s">
        <v>1080</v>
      </c>
      <c r="B243" s="643" t="s">
        <v>1079</v>
      </c>
      <c r="C243" s="645" t="s">
        <v>830</v>
      </c>
      <c r="D243" s="646">
        <v>20010701</v>
      </c>
      <c r="E243" s="646">
        <v>20010701</v>
      </c>
      <c r="F243" s="639"/>
      <c r="G243" s="45"/>
      <c r="H243"/>
    </row>
    <row r="244" spans="1:8" ht="14.4" thickBot="1" x14ac:dyDescent="0.3">
      <c r="A244" s="644" t="s">
        <v>1082</v>
      </c>
      <c r="B244" s="643" t="s">
        <v>1081</v>
      </c>
      <c r="C244" s="645" t="s">
        <v>830</v>
      </c>
      <c r="D244" s="646">
        <v>20010701</v>
      </c>
      <c r="E244" s="646">
        <v>20010701</v>
      </c>
      <c r="F244" s="639"/>
      <c r="G244" s="45"/>
      <c r="H244"/>
    </row>
    <row r="245" spans="1:8" ht="14.4" thickBot="1" x14ac:dyDescent="0.3">
      <c r="A245" s="644" t="s">
        <v>1084</v>
      </c>
      <c r="B245" s="643" t="s">
        <v>1083</v>
      </c>
      <c r="C245" s="645" t="s">
        <v>830</v>
      </c>
      <c r="D245" s="646">
        <v>20010701</v>
      </c>
      <c r="E245" s="646">
        <v>20010701</v>
      </c>
      <c r="F245" s="639"/>
      <c r="G245" s="45"/>
      <c r="H245"/>
    </row>
    <row r="246" spans="1:8" ht="28.2" thickBot="1" x14ac:dyDescent="0.3">
      <c r="A246" s="644" t="s">
        <v>1086</v>
      </c>
      <c r="B246" s="643" t="s">
        <v>1085</v>
      </c>
      <c r="C246" s="645" t="s">
        <v>830</v>
      </c>
      <c r="D246" s="646">
        <v>20010701</v>
      </c>
      <c r="E246" s="646">
        <v>20010701</v>
      </c>
      <c r="F246" s="639"/>
      <c r="G246" s="45"/>
      <c r="H246"/>
    </row>
    <row r="247" spans="1:8" ht="28.2" thickBot="1" x14ac:dyDescent="0.3">
      <c r="A247" s="644" t="s">
        <v>1088</v>
      </c>
      <c r="B247" s="643" t="s">
        <v>1087</v>
      </c>
      <c r="C247" s="645" t="s">
        <v>830</v>
      </c>
      <c r="D247" s="646">
        <v>20010701</v>
      </c>
      <c r="E247" s="646">
        <v>20010701</v>
      </c>
      <c r="F247" s="639"/>
      <c r="G247" s="45"/>
      <c r="H247"/>
    </row>
    <row r="248" spans="1:8" ht="28.2" thickBot="1" x14ac:dyDescent="0.3">
      <c r="A248" s="644" t="s">
        <v>1090</v>
      </c>
      <c r="B248" s="643" t="s">
        <v>1089</v>
      </c>
      <c r="C248" s="645" t="s">
        <v>830</v>
      </c>
      <c r="D248" s="646">
        <v>20010701</v>
      </c>
      <c r="E248" s="646">
        <v>20010701</v>
      </c>
      <c r="F248" s="639"/>
      <c r="G248" s="45"/>
      <c r="H248"/>
    </row>
    <row r="249" spans="1:8" ht="28.2" thickBot="1" x14ac:dyDescent="0.3">
      <c r="A249" s="644" t="s">
        <v>1092</v>
      </c>
      <c r="B249" s="643" t="s">
        <v>1091</v>
      </c>
      <c r="C249" s="645" t="s">
        <v>830</v>
      </c>
      <c r="D249" s="646">
        <v>20010701</v>
      </c>
      <c r="E249" s="646">
        <v>20010701</v>
      </c>
      <c r="F249" s="639"/>
      <c r="G249" s="45"/>
      <c r="H249"/>
    </row>
    <row r="250" spans="1:8" ht="14.4" thickBot="1" x14ac:dyDescent="0.3">
      <c r="A250" s="644" t="s">
        <v>1094</v>
      </c>
      <c r="B250" s="643" t="s">
        <v>1093</v>
      </c>
      <c r="C250" s="645" t="s">
        <v>830</v>
      </c>
      <c r="D250" s="646">
        <v>20010701</v>
      </c>
      <c r="E250" s="646">
        <v>20010701</v>
      </c>
      <c r="F250" s="639"/>
      <c r="G250" s="45"/>
      <c r="H250"/>
    </row>
    <row r="251" spans="1:8" ht="14.4" thickBot="1" x14ac:dyDescent="0.3">
      <c r="A251" s="644" t="s">
        <v>1096</v>
      </c>
      <c r="B251" s="643" t="s">
        <v>1095</v>
      </c>
      <c r="C251" s="645" t="s">
        <v>830</v>
      </c>
      <c r="D251" s="646">
        <v>20010701</v>
      </c>
      <c r="E251" s="646">
        <v>20030101</v>
      </c>
      <c r="F251" s="639"/>
      <c r="G251" s="45"/>
      <c r="H251"/>
    </row>
    <row r="252" spans="1:8" ht="28.2" thickBot="1" x14ac:dyDescent="0.3">
      <c r="A252" s="644" t="s">
        <v>1098</v>
      </c>
      <c r="B252" s="643" t="s">
        <v>1097</v>
      </c>
      <c r="C252" s="645" t="s">
        <v>830</v>
      </c>
      <c r="D252" s="646">
        <v>20010701</v>
      </c>
      <c r="E252" s="646">
        <v>20010701</v>
      </c>
      <c r="F252" s="639"/>
      <c r="G252" s="45"/>
      <c r="H252"/>
    </row>
    <row r="253" spans="1:8" ht="14.4" thickBot="1" x14ac:dyDescent="0.3">
      <c r="A253" s="644" t="s">
        <v>1099</v>
      </c>
      <c r="B253" s="643" t="s">
        <v>762</v>
      </c>
      <c r="C253" s="645" t="s">
        <v>830</v>
      </c>
      <c r="D253" s="646">
        <v>20020101</v>
      </c>
      <c r="E253" s="646">
        <v>20020101</v>
      </c>
      <c r="F253" s="639"/>
      <c r="G253" s="45"/>
      <c r="H253"/>
    </row>
    <row r="254" spans="1:8" ht="14.4" thickBot="1" x14ac:dyDescent="0.3">
      <c r="A254" s="644" t="s">
        <v>1101</v>
      </c>
      <c r="B254" s="643" t="s">
        <v>1100</v>
      </c>
      <c r="C254" s="645" t="s">
        <v>830</v>
      </c>
      <c r="D254" s="646">
        <v>20020701</v>
      </c>
      <c r="E254" s="646">
        <v>20020701</v>
      </c>
      <c r="F254" s="639"/>
      <c r="G254" s="45"/>
      <c r="H254"/>
    </row>
    <row r="255" spans="1:8" ht="14.4" thickBot="1" x14ac:dyDescent="0.3">
      <c r="A255" s="644" t="s">
        <v>1103</v>
      </c>
      <c r="B255" s="643" t="s">
        <v>1102</v>
      </c>
      <c r="C255" s="645" t="s">
        <v>830</v>
      </c>
      <c r="D255" s="646">
        <v>20020701</v>
      </c>
      <c r="E255" s="646">
        <v>20020701</v>
      </c>
      <c r="F255" s="639"/>
      <c r="G255" s="45"/>
      <c r="H255"/>
    </row>
    <row r="256" spans="1:8" ht="28.2" thickBot="1" x14ac:dyDescent="0.3">
      <c r="A256" s="644" t="s">
        <v>1105</v>
      </c>
      <c r="B256" s="643" t="s">
        <v>1104</v>
      </c>
      <c r="C256" s="645" t="s">
        <v>830</v>
      </c>
      <c r="D256" s="646">
        <v>20020701</v>
      </c>
      <c r="E256" s="646">
        <v>20020701</v>
      </c>
      <c r="F256" s="639"/>
      <c r="G256" s="45"/>
      <c r="H256"/>
    </row>
    <row r="257" spans="1:8" ht="69.599999999999994" thickBot="1" x14ac:dyDescent="0.3">
      <c r="A257" s="644" t="s">
        <v>1107</v>
      </c>
      <c r="B257" s="643" t="s">
        <v>1106</v>
      </c>
      <c r="C257" s="645" t="s">
        <v>830</v>
      </c>
      <c r="D257" s="646">
        <v>20020701</v>
      </c>
      <c r="E257" s="646">
        <v>20020701</v>
      </c>
      <c r="F257" s="639"/>
      <c r="G257" s="45"/>
      <c r="H257"/>
    </row>
    <row r="258" spans="1:8" ht="69.599999999999994" thickBot="1" x14ac:dyDescent="0.3">
      <c r="A258" s="644" t="s">
        <v>1109</v>
      </c>
      <c r="B258" s="643" t="s">
        <v>1108</v>
      </c>
      <c r="C258" s="645" t="s">
        <v>830</v>
      </c>
      <c r="D258" s="646">
        <v>20020701</v>
      </c>
      <c r="E258" s="646">
        <v>20020701</v>
      </c>
      <c r="F258" s="639"/>
      <c r="G258" s="45"/>
      <c r="H258"/>
    </row>
    <row r="259" spans="1:8" ht="14.4" thickBot="1" x14ac:dyDescent="0.3">
      <c r="A259" s="644" t="s">
        <v>1111</v>
      </c>
      <c r="B259" s="643" t="s">
        <v>1110</v>
      </c>
      <c r="C259" s="645" t="s">
        <v>830</v>
      </c>
      <c r="D259" s="646">
        <v>20020701</v>
      </c>
      <c r="E259" s="646">
        <v>20020701</v>
      </c>
      <c r="F259" s="639"/>
      <c r="G259" s="45"/>
      <c r="H259"/>
    </row>
    <row r="260" spans="1:8" ht="28.2" thickBot="1" x14ac:dyDescent="0.3">
      <c r="A260" s="644" t="s">
        <v>1113</v>
      </c>
      <c r="B260" s="643" t="s">
        <v>1112</v>
      </c>
      <c r="C260" s="645" t="s">
        <v>830</v>
      </c>
      <c r="D260" s="646">
        <v>20030101</v>
      </c>
      <c r="E260" s="646">
        <v>20030101</v>
      </c>
      <c r="F260" s="639"/>
      <c r="G260" s="45"/>
      <c r="H260"/>
    </row>
    <row r="261" spans="1:8" ht="42" thickBot="1" x14ac:dyDescent="0.3">
      <c r="A261" s="644" t="s">
        <v>1115</v>
      </c>
      <c r="B261" s="643" t="s">
        <v>1114</v>
      </c>
      <c r="C261" s="645" t="s">
        <v>830</v>
      </c>
      <c r="D261" s="646">
        <v>20030101</v>
      </c>
      <c r="E261" s="646">
        <v>20030101</v>
      </c>
      <c r="F261" s="639"/>
      <c r="G261" s="45"/>
      <c r="H261"/>
    </row>
    <row r="262" spans="1:8" ht="42" thickBot="1" x14ac:dyDescent="0.3">
      <c r="A262" s="644" t="s">
        <v>1117</v>
      </c>
      <c r="B262" s="643" t="s">
        <v>1116</v>
      </c>
      <c r="C262" s="645" t="s">
        <v>830</v>
      </c>
      <c r="D262" s="646">
        <v>20030101</v>
      </c>
      <c r="E262" s="646">
        <v>20030101</v>
      </c>
      <c r="F262" s="639"/>
      <c r="G262" s="45"/>
      <c r="H262"/>
    </row>
    <row r="263" spans="1:8" ht="42" thickBot="1" x14ac:dyDescent="0.3">
      <c r="A263" s="644" t="s">
        <v>1119</v>
      </c>
      <c r="B263" s="643" t="s">
        <v>1118</v>
      </c>
      <c r="C263" s="645" t="s">
        <v>830</v>
      </c>
      <c r="D263" s="646">
        <v>20030101</v>
      </c>
      <c r="E263" s="646">
        <v>20030101</v>
      </c>
      <c r="F263" s="639"/>
      <c r="G263" s="45"/>
      <c r="H263"/>
    </row>
    <row r="264" spans="1:8" ht="42" thickBot="1" x14ac:dyDescent="0.3">
      <c r="A264" s="644" t="s">
        <v>1121</v>
      </c>
      <c r="B264" s="643" t="s">
        <v>1120</v>
      </c>
      <c r="C264" s="645" t="s">
        <v>830</v>
      </c>
      <c r="D264" s="646">
        <v>20030101</v>
      </c>
      <c r="E264" s="646">
        <v>20030101</v>
      </c>
      <c r="F264" s="639"/>
      <c r="G264" s="45"/>
      <c r="H264"/>
    </row>
    <row r="265" spans="1:8" ht="28.2" thickBot="1" x14ac:dyDescent="0.3">
      <c r="A265" s="644" t="s">
        <v>1123</v>
      </c>
      <c r="B265" s="643" t="s">
        <v>1122</v>
      </c>
      <c r="C265" s="645" t="s">
        <v>830</v>
      </c>
      <c r="D265" s="646">
        <v>20030101</v>
      </c>
      <c r="E265" s="646">
        <v>20030101</v>
      </c>
      <c r="F265" s="639"/>
      <c r="G265" s="45"/>
      <c r="H265"/>
    </row>
    <row r="266" spans="1:8" ht="28.2" thickBot="1" x14ac:dyDescent="0.3">
      <c r="A266" s="644" t="s">
        <v>1125</v>
      </c>
      <c r="B266" s="643" t="s">
        <v>1124</v>
      </c>
      <c r="C266" s="645" t="s">
        <v>830</v>
      </c>
      <c r="D266" s="646">
        <v>20030101</v>
      </c>
      <c r="E266" s="646">
        <v>20030101</v>
      </c>
      <c r="F266" s="639"/>
      <c r="G266" s="45"/>
      <c r="H266"/>
    </row>
    <row r="267" spans="1:8" ht="28.2" thickBot="1" x14ac:dyDescent="0.3">
      <c r="A267" s="644" t="s">
        <v>1127</v>
      </c>
      <c r="B267" s="643" t="s">
        <v>1126</v>
      </c>
      <c r="C267" s="645" t="s">
        <v>830</v>
      </c>
      <c r="D267" s="646">
        <v>20030101</v>
      </c>
      <c r="E267" s="646">
        <v>20030101</v>
      </c>
      <c r="F267" s="639"/>
      <c r="G267" s="45"/>
      <c r="H267"/>
    </row>
    <row r="268" spans="1:8" ht="14.4" thickBot="1" x14ac:dyDescent="0.3">
      <c r="A268" s="644" t="s">
        <v>1129</v>
      </c>
      <c r="B268" s="643" t="s">
        <v>1128</v>
      </c>
      <c r="C268" s="645" t="s">
        <v>830</v>
      </c>
      <c r="D268" s="646">
        <v>20030101</v>
      </c>
      <c r="E268" s="646">
        <v>20030101</v>
      </c>
      <c r="F268" s="639"/>
      <c r="G268" s="45"/>
      <c r="H268"/>
    </row>
    <row r="269" spans="1:8" ht="28.2" thickBot="1" x14ac:dyDescent="0.3">
      <c r="A269" s="644" t="s">
        <v>1131</v>
      </c>
      <c r="B269" s="643" t="s">
        <v>1130</v>
      </c>
      <c r="C269" s="645" t="s">
        <v>830</v>
      </c>
      <c r="D269" s="646">
        <v>20030101</v>
      </c>
      <c r="E269" s="646">
        <v>20030101</v>
      </c>
      <c r="F269" s="639"/>
      <c r="G269" s="45"/>
      <c r="H269"/>
    </row>
    <row r="270" spans="1:8" ht="28.2" thickBot="1" x14ac:dyDescent="0.3">
      <c r="A270" s="644" t="s">
        <v>1133</v>
      </c>
      <c r="B270" s="643" t="s">
        <v>1132</v>
      </c>
      <c r="C270" s="645" t="s">
        <v>830</v>
      </c>
      <c r="D270" s="646">
        <v>20030101</v>
      </c>
      <c r="E270" s="646">
        <v>20030101</v>
      </c>
      <c r="F270" s="639"/>
      <c r="G270" s="45"/>
      <c r="H270"/>
    </row>
    <row r="271" spans="1:8" ht="28.2" thickBot="1" x14ac:dyDescent="0.3">
      <c r="A271" s="644" t="s">
        <v>1135</v>
      </c>
      <c r="B271" s="643" t="s">
        <v>1134</v>
      </c>
      <c r="C271" s="645" t="s">
        <v>830</v>
      </c>
      <c r="D271" s="646">
        <v>20070401</v>
      </c>
      <c r="E271" s="646">
        <v>20070401</v>
      </c>
      <c r="F271" s="639"/>
      <c r="G271" s="45"/>
      <c r="H271"/>
    </row>
    <row r="272" spans="1:8" ht="42" thickBot="1" x14ac:dyDescent="0.3">
      <c r="A272" s="644" t="s">
        <v>1137</v>
      </c>
      <c r="B272" s="643" t="s">
        <v>1136</v>
      </c>
      <c r="C272" s="645" t="s">
        <v>830</v>
      </c>
      <c r="D272" s="646">
        <v>20110101</v>
      </c>
      <c r="E272" s="646">
        <v>20110101</v>
      </c>
      <c r="F272" s="639"/>
      <c r="G272" s="45"/>
      <c r="H272"/>
    </row>
    <row r="273" spans="1:8" ht="85.8" customHeight="1" thickBot="1" x14ac:dyDescent="0.3">
      <c r="A273" s="644" t="s">
        <v>1139</v>
      </c>
      <c r="B273" s="643" t="s">
        <v>1138</v>
      </c>
      <c r="C273" s="645" t="s">
        <v>830</v>
      </c>
      <c r="D273" s="646">
        <v>20030101</v>
      </c>
      <c r="E273" s="646">
        <v>20030101</v>
      </c>
      <c r="F273" s="639"/>
      <c r="G273" s="45"/>
      <c r="H273"/>
    </row>
    <row r="274" spans="1:8" ht="14.4" thickBot="1" x14ac:dyDescent="0.3">
      <c r="A274" s="644" t="s">
        <v>1141</v>
      </c>
      <c r="B274" s="643" t="s">
        <v>1140</v>
      </c>
      <c r="C274" s="645" t="s">
        <v>830</v>
      </c>
      <c r="D274" s="646">
        <v>20020401</v>
      </c>
      <c r="E274" s="646">
        <v>20020401</v>
      </c>
      <c r="F274" s="639"/>
      <c r="G274" s="45"/>
      <c r="H274"/>
    </row>
    <row r="275" spans="1:8" ht="14.4" thickBot="1" x14ac:dyDescent="0.3">
      <c r="A275" s="644" t="s">
        <v>1143</v>
      </c>
      <c r="B275" s="643" t="s">
        <v>1142</v>
      </c>
      <c r="C275" s="645" t="s">
        <v>830</v>
      </c>
      <c r="D275" s="646">
        <v>20020401</v>
      </c>
      <c r="E275" s="646">
        <v>20020401</v>
      </c>
      <c r="F275" s="639"/>
      <c r="G275" s="45"/>
      <c r="H275"/>
    </row>
    <row r="276" spans="1:8" ht="14.4" thickBot="1" x14ac:dyDescent="0.3">
      <c r="A276" s="644" t="s">
        <v>1145</v>
      </c>
      <c r="B276" s="643" t="s">
        <v>1144</v>
      </c>
      <c r="C276" s="645" t="s">
        <v>830</v>
      </c>
      <c r="D276" s="646">
        <v>20020401</v>
      </c>
      <c r="E276" s="646">
        <v>20020401</v>
      </c>
      <c r="F276" s="639"/>
      <c r="G276" s="45"/>
      <c r="H276"/>
    </row>
    <row r="277" spans="1:8" ht="14.4" thickBot="1" x14ac:dyDescent="0.3">
      <c r="A277" s="644" t="s">
        <v>1147</v>
      </c>
      <c r="B277" s="643" t="s">
        <v>1146</v>
      </c>
      <c r="C277" s="645" t="s">
        <v>830</v>
      </c>
      <c r="D277" s="646">
        <v>20020401</v>
      </c>
      <c r="E277" s="646">
        <v>20020401</v>
      </c>
      <c r="F277" s="639"/>
      <c r="G277" s="45"/>
      <c r="H277"/>
    </row>
    <row r="278" spans="1:8" ht="14.4" thickBot="1" x14ac:dyDescent="0.3">
      <c r="A278" s="644" t="s">
        <v>1149</v>
      </c>
      <c r="B278" s="643" t="s">
        <v>1148</v>
      </c>
      <c r="C278" s="645" t="s">
        <v>830</v>
      </c>
      <c r="D278" s="646">
        <v>20020401</v>
      </c>
      <c r="E278" s="646">
        <v>20040701</v>
      </c>
      <c r="F278" s="639"/>
      <c r="G278" s="45"/>
      <c r="H278"/>
    </row>
    <row r="279" spans="1:8" ht="28.2" thickBot="1" x14ac:dyDescent="0.3">
      <c r="A279" s="644" t="s">
        <v>1151</v>
      </c>
      <c r="B279" s="643" t="s">
        <v>1150</v>
      </c>
      <c r="C279" s="645" t="s">
        <v>830</v>
      </c>
      <c r="D279" s="646">
        <v>20030101</v>
      </c>
      <c r="E279" s="646">
        <v>20030101</v>
      </c>
      <c r="F279" s="639"/>
      <c r="G279" s="45"/>
      <c r="H279"/>
    </row>
    <row r="280" spans="1:8" ht="28.2" thickBot="1" x14ac:dyDescent="0.3">
      <c r="A280" s="644" t="s">
        <v>1153</v>
      </c>
      <c r="B280" s="643" t="s">
        <v>1152</v>
      </c>
      <c r="C280" s="645" t="s">
        <v>830</v>
      </c>
      <c r="D280" s="646">
        <v>20030401</v>
      </c>
      <c r="E280" s="646">
        <v>20030401</v>
      </c>
      <c r="F280" s="639"/>
      <c r="G280" s="45"/>
      <c r="H280"/>
    </row>
    <row r="281" spans="1:8" ht="28.2" thickBot="1" x14ac:dyDescent="0.3">
      <c r="A281" s="644" t="s">
        <v>1155</v>
      </c>
      <c r="B281" s="643" t="s">
        <v>1154</v>
      </c>
      <c r="C281" s="645" t="s">
        <v>830</v>
      </c>
      <c r="D281" s="646">
        <v>20030401</v>
      </c>
      <c r="E281" s="646">
        <v>20030401</v>
      </c>
      <c r="F281" s="639"/>
      <c r="G281" s="45"/>
      <c r="H281"/>
    </row>
    <row r="282" spans="1:8" ht="14.4" thickBot="1" x14ac:dyDescent="0.3">
      <c r="A282" s="644" t="s">
        <v>1157</v>
      </c>
      <c r="B282" s="643" t="s">
        <v>1156</v>
      </c>
      <c r="C282" s="645" t="s">
        <v>830</v>
      </c>
      <c r="D282" s="646">
        <v>20031001</v>
      </c>
      <c r="E282" s="646">
        <v>20031001</v>
      </c>
      <c r="F282" s="639"/>
      <c r="G282" s="45"/>
      <c r="H282"/>
    </row>
    <row r="283" spans="1:8" ht="14.4" thickBot="1" x14ac:dyDescent="0.3">
      <c r="A283" s="644" t="s">
        <v>1159</v>
      </c>
      <c r="B283" s="643" t="s">
        <v>1158</v>
      </c>
      <c r="C283" s="645" t="s">
        <v>830</v>
      </c>
      <c r="D283" s="646">
        <v>20031001</v>
      </c>
      <c r="E283" s="646">
        <v>20031001</v>
      </c>
      <c r="F283" s="639"/>
      <c r="G283" s="45"/>
      <c r="H283"/>
    </row>
    <row r="284" spans="1:8" ht="14.4" thickBot="1" x14ac:dyDescent="0.3">
      <c r="A284" s="644" t="s">
        <v>1161</v>
      </c>
      <c r="B284" s="643" t="s">
        <v>1160</v>
      </c>
      <c r="C284" s="645" t="s">
        <v>830</v>
      </c>
      <c r="D284" s="646">
        <v>20031001</v>
      </c>
      <c r="E284" s="646">
        <v>20031001</v>
      </c>
      <c r="F284" s="639"/>
      <c r="G284" s="45"/>
      <c r="H284"/>
    </row>
    <row r="285" spans="1:8" ht="14.4" thickBot="1" x14ac:dyDescent="0.3">
      <c r="A285" s="644" t="s">
        <v>1163</v>
      </c>
      <c r="B285" s="643" t="s">
        <v>1162</v>
      </c>
      <c r="C285" s="645" t="s">
        <v>830</v>
      </c>
      <c r="D285" s="646">
        <v>20031001</v>
      </c>
      <c r="E285" s="646">
        <v>20031001</v>
      </c>
      <c r="F285" s="639"/>
      <c r="G285" s="45"/>
      <c r="H285"/>
    </row>
    <row r="286" spans="1:8" ht="14.4" thickBot="1" x14ac:dyDescent="0.3">
      <c r="A286" s="644" t="s">
        <v>1165</v>
      </c>
      <c r="B286" s="643" t="s">
        <v>1164</v>
      </c>
      <c r="C286" s="645" t="s">
        <v>830</v>
      </c>
      <c r="D286" s="646">
        <v>20031001</v>
      </c>
      <c r="E286" s="646">
        <v>20031001</v>
      </c>
      <c r="F286" s="639"/>
      <c r="G286" s="45"/>
      <c r="H286"/>
    </row>
    <row r="287" spans="1:8" ht="14.4" thickBot="1" x14ac:dyDescent="0.3">
      <c r="A287" s="644" t="s">
        <v>1167</v>
      </c>
      <c r="B287" s="643" t="s">
        <v>1166</v>
      </c>
      <c r="C287" s="645" t="s">
        <v>830</v>
      </c>
      <c r="D287" s="646">
        <v>20031001</v>
      </c>
      <c r="E287" s="646">
        <v>20031001</v>
      </c>
      <c r="F287" s="639"/>
      <c r="G287" s="45"/>
      <c r="H287"/>
    </row>
    <row r="288" spans="1:8" ht="14.4" thickBot="1" x14ac:dyDescent="0.3">
      <c r="A288" s="644" t="s">
        <v>1169</v>
      </c>
      <c r="B288" s="643" t="s">
        <v>1168</v>
      </c>
      <c r="C288" s="645" t="s">
        <v>830</v>
      </c>
      <c r="D288" s="646">
        <v>20031001</v>
      </c>
      <c r="E288" s="646">
        <v>20031001</v>
      </c>
      <c r="F288" s="639"/>
      <c r="G288" s="45"/>
      <c r="H288"/>
    </row>
    <row r="289" spans="1:8" ht="14.4" thickBot="1" x14ac:dyDescent="0.3">
      <c r="A289" s="644" t="s">
        <v>1171</v>
      </c>
      <c r="B289" s="643" t="s">
        <v>1170</v>
      </c>
      <c r="C289" s="645" t="s">
        <v>830</v>
      </c>
      <c r="D289" s="646">
        <v>20031001</v>
      </c>
      <c r="E289" s="646">
        <v>20031001</v>
      </c>
      <c r="F289" s="639"/>
      <c r="G289" s="45"/>
      <c r="H289"/>
    </row>
    <row r="290" spans="1:8" ht="14.4" thickBot="1" x14ac:dyDescent="0.3">
      <c r="A290" s="644" t="s">
        <v>1173</v>
      </c>
      <c r="B290" s="643" t="s">
        <v>1172</v>
      </c>
      <c r="C290" s="645" t="s">
        <v>830</v>
      </c>
      <c r="D290" s="646">
        <v>20031001</v>
      </c>
      <c r="E290" s="646">
        <v>20031001</v>
      </c>
      <c r="F290" s="639"/>
      <c r="G290" s="45"/>
      <c r="H290"/>
    </row>
    <row r="291" spans="1:8" ht="14.4" thickBot="1" x14ac:dyDescent="0.3">
      <c r="A291" s="644" t="s">
        <v>1175</v>
      </c>
      <c r="B291" s="643" t="s">
        <v>1174</v>
      </c>
      <c r="C291" s="645" t="s">
        <v>830</v>
      </c>
      <c r="D291" s="646">
        <v>20031001</v>
      </c>
      <c r="E291" s="646">
        <v>20031001</v>
      </c>
      <c r="F291" s="639"/>
      <c r="G291" s="45"/>
      <c r="H291"/>
    </row>
    <row r="292" spans="1:8" ht="14.4" thickBot="1" x14ac:dyDescent="0.3">
      <c r="A292" s="644" t="s">
        <v>1177</v>
      </c>
      <c r="B292" s="643" t="s">
        <v>1176</v>
      </c>
      <c r="C292" s="645" t="s">
        <v>830</v>
      </c>
      <c r="D292" s="646">
        <v>20031001</v>
      </c>
      <c r="E292" s="646">
        <v>20031001</v>
      </c>
      <c r="F292" s="639"/>
      <c r="G292" s="45"/>
      <c r="H292"/>
    </row>
    <row r="293" spans="1:8" ht="14.4" thickBot="1" x14ac:dyDescent="0.3">
      <c r="A293" s="644" t="s">
        <v>1179</v>
      </c>
      <c r="B293" s="643" t="s">
        <v>1178</v>
      </c>
      <c r="C293" s="645" t="s">
        <v>830</v>
      </c>
      <c r="D293" s="646">
        <v>20031001</v>
      </c>
      <c r="E293" s="646">
        <v>20031001</v>
      </c>
      <c r="F293" s="639"/>
      <c r="G293" s="45"/>
      <c r="H293"/>
    </row>
    <row r="294" spans="1:8" ht="14.4" thickBot="1" x14ac:dyDescent="0.3">
      <c r="A294" s="644" t="s">
        <v>1181</v>
      </c>
      <c r="B294" s="643" t="s">
        <v>1180</v>
      </c>
      <c r="C294" s="645" t="s">
        <v>830</v>
      </c>
      <c r="D294" s="646">
        <v>20031001</v>
      </c>
      <c r="E294" s="646">
        <v>20031001</v>
      </c>
      <c r="F294" s="639"/>
      <c r="G294" s="45"/>
      <c r="H294"/>
    </row>
    <row r="295" spans="1:8" ht="14.4" thickBot="1" x14ac:dyDescent="0.3">
      <c r="A295" s="644" t="s">
        <v>1183</v>
      </c>
      <c r="B295" s="643" t="s">
        <v>1182</v>
      </c>
      <c r="C295" s="645" t="s">
        <v>830</v>
      </c>
      <c r="D295" s="646">
        <v>20031001</v>
      </c>
      <c r="E295" s="646">
        <v>20031001</v>
      </c>
      <c r="F295" s="639"/>
      <c r="G295" s="45"/>
      <c r="H295"/>
    </row>
    <row r="296" spans="1:8" ht="14.4" thickBot="1" x14ac:dyDescent="0.3">
      <c r="A296" s="644" t="s">
        <v>1185</v>
      </c>
      <c r="B296" s="643" t="s">
        <v>1184</v>
      </c>
      <c r="C296" s="645" t="s">
        <v>830</v>
      </c>
      <c r="D296" s="646">
        <v>20031001</v>
      </c>
      <c r="E296" s="646">
        <v>20031001</v>
      </c>
      <c r="F296" s="639"/>
      <c r="G296" s="45"/>
      <c r="H296"/>
    </row>
    <row r="297" spans="1:8" ht="14.4" thickBot="1" x14ac:dyDescent="0.3">
      <c r="A297" s="644" t="s">
        <v>1187</v>
      </c>
      <c r="B297" s="643" t="s">
        <v>1186</v>
      </c>
      <c r="C297" s="645" t="s">
        <v>830</v>
      </c>
      <c r="D297" s="646">
        <v>20031001</v>
      </c>
      <c r="E297" s="646">
        <v>20031001</v>
      </c>
      <c r="F297" s="639"/>
      <c r="G297" s="45"/>
      <c r="H297"/>
    </row>
    <row r="298" spans="1:8" ht="14.4" thickBot="1" x14ac:dyDescent="0.3">
      <c r="A298" s="644" t="s">
        <v>1189</v>
      </c>
      <c r="B298" s="643" t="s">
        <v>1188</v>
      </c>
      <c r="C298" s="645" t="s">
        <v>830</v>
      </c>
      <c r="D298" s="646">
        <v>20031001</v>
      </c>
      <c r="E298" s="646">
        <v>20031001</v>
      </c>
      <c r="F298" s="639"/>
      <c r="G298" s="45"/>
      <c r="H298"/>
    </row>
    <row r="299" spans="1:8" ht="28.2" thickBot="1" x14ac:dyDescent="0.3">
      <c r="A299" s="644" t="s">
        <v>1191</v>
      </c>
      <c r="B299" s="643" t="s">
        <v>1190</v>
      </c>
      <c r="C299" s="645" t="s">
        <v>830</v>
      </c>
      <c r="D299" s="646">
        <v>20031001</v>
      </c>
      <c r="E299" s="646">
        <v>20031001</v>
      </c>
      <c r="F299" s="639"/>
      <c r="G299" s="45"/>
      <c r="H299"/>
    </row>
    <row r="300" spans="1:8" ht="14.4" thickBot="1" x14ac:dyDescent="0.3">
      <c r="A300" s="644" t="s">
        <v>1193</v>
      </c>
      <c r="B300" s="643" t="s">
        <v>1192</v>
      </c>
      <c r="C300" s="645" t="s">
        <v>830</v>
      </c>
      <c r="D300" s="646">
        <v>20031001</v>
      </c>
      <c r="E300" s="646">
        <v>20031001</v>
      </c>
      <c r="F300" s="639"/>
      <c r="G300" s="45"/>
      <c r="H300"/>
    </row>
    <row r="301" spans="1:8" ht="14.4" thickBot="1" x14ac:dyDescent="0.3">
      <c r="A301" s="644" t="s">
        <v>1195</v>
      </c>
      <c r="B301" s="643" t="s">
        <v>1194</v>
      </c>
      <c r="C301" s="645" t="s">
        <v>830</v>
      </c>
      <c r="D301" s="646">
        <v>20031001</v>
      </c>
      <c r="E301" s="646">
        <v>20031001</v>
      </c>
      <c r="F301" s="639"/>
      <c r="G301" s="45"/>
      <c r="H301"/>
    </row>
    <row r="302" spans="1:8" ht="28.2" thickBot="1" x14ac:dyDescent="0.3">
      <c r="A302" s="644" t="s">
        <v>1197</v>
      </c>
      <c r="B302" s="643" t="s">
        <v>1196</v>
      </c>
      <c r="C302" s="645" t="s">
        <v>830</v>
      </c>
      <c r="D302" s="646">
        <v>20031001</v>
      </c>
      <c r="E302" s="646">
        <v>20031001</v>
      </c>
      <c r="F302" s="639"/>
      <c r="G302" s="45"/>
      <c r="H302"/>
    </row>
    <row r="303" spans="1:8" ht="28.2" thickBot="1" x14ac:dyDescent="0.3">
      <c r="A303" s="644" t="s">
        <v>1199</v>
      </c>
      <c r="B303" s="643" t="s">
        <v>1198</v>
      </c>
      <c r="C303" s="645" t="s">
        <v>830</v>
      </c>
      <c r="D303" s="646">
        <v>20031001</v>
      </c>
      <c r="E303" s="646">
        <v>20031001</v>
      </c>
      <c r="F303" s="639"/>
      <c r="G303" s="45"/>
      <c r="H303"/>
    </row>
    <row r="304" spans="1:8" ht="14.4" thickBot="1" x14ac:dyDescent="0.3">
      <c r="A304" s="644" t="s">
        <v>1201</v>
      </c>
      <c r="B304" s="643" t="s">
        <v>1200</v>
      </c>
      <c r="C304" s="645" t="s">
        <v>830</v>
      </c>
      <c r="D304" s="646">
        <v>20031001</v>
      </c>
      <c r="E304" s="646">
        <v>20031001</v>
      </c>
      <c r="F304" s="639"/>
      <c r="G304" s="45"/>
      <c r="H304"/>
    </row>
    <row r="305" spans="1:8" ht="28.2" thickBot="1" x14ac:dyDescent="0.3">
      <c r="A305" s="644" t="s">
        <v>1203</v>
      </c>
      <c r="B305" s="643" t="s">
        <v>1202</v>
      </c>
      <c r="C305" s="645" t="s">
        <v>830</v>
      </c>
      <c r="D305" s="646">
        <v>20031001</v>
      </c>
      <c r="E305" s="646">
        <v>20031001</v>
      </c>
      <c r="F305" s="639"/>
      <c r="G305" s="45"/>
      <c r="H305"/>
    </row>
    <row r="306" spans="1:8" ht="14.4" thickBot="1" x14ac:dyDescent="0.3">
      <c r="A306" s="644" t="s">
        <v>1205</v>
      </c>
      <c r="B306" s="643" t="s">
        <v>1204</v>
      </c>
      <c r="C306" s="645" t="s">
        <v>830</v>
      </c>
      <c r="D306" s="646">
        <v>20031001</v>
      </c>
      <c r="E306" s="646">
        <v>20031001</v>
      </c>
      <c r="F306" s="639"/>
      <c r="G306" s="45"/>
      <c r="H306"/>
    </row>
    <row r="307" spans="1:8" ht="14.4" thickBot="1" x14ac:dyDescent="0.3">
      <c r="A307" s="644" t="s">
        <v>1207</v>
      </c>
      <c r="B307" s="643" t="s">
        <v>1206</v>
      </c>
      <c r="C307" s="645" t="s">
        <v>830</v>
      </c>
      <c r="D307" s="646">
        <v>20031001</v>
      </c>
      <c r="E307" s="646">
        <v>20031001</v>
      </c>
      <c r="F307" s="639"/>
      <c r="G307" s="45"/>
      <c r="H307"/>
    </row>
    <row r="308" spans="1:8" ht="14.4" thickBot="1" x14ac:dyDescent="0.3">
      <c r="A308" s="644" t="s">
        <v>1209</v>
      </c>
      <c r="B308" s="643" t="s">
        <v>1208</v>
      </c>
      <c r="C308" s="645" t="s">
        <v>830</v>
      </c>
      <c r="D308" s="646">
        <v>20031001</v>
      </c>
      <c r="E308" s="646">
        <v>20031001</v>
      </c>
      <c r="F308" s="639"/>
      <c r="G308" s="45"/>
      <c r="H308"/>
    </row>
    <row r="309" spans="1:8" ht="14.4" thickBot="1" x14ac:dyDescent="0.3">
      <c r="A309" s="644" t="s">
        <v>1211</v>
      </c>
      <c r="B309" s="643" t="s">
        <v>1210</v>
      </c>
      <c r="C309" s="645" t="s">
        <v>830</v>
      </c>
      <c r="D309" s="646">
        <v>20031001</v>
      </c>
      <c r="E309" s="646">
        <v>20031001</v>
      </c>
      <c r="F309" s="639"/>
      <c r="G309" s="45"/>
      <c r="H309"/>
    </row>
    <row r="310" spans="1:8" ht="14.4" thickBot="1" x14ac:dyDescent="0.3">
      <c r="A310" s="644" t="s">
        <v>1213</v>
      </c>
      <c r="B310" s="643" t="s">
        <v>1212</v>
      </c>
      <c r="C310" s="645" t="s">
        <v>830</v>
      </c>
      <c r="D310" s="646">
        <v>20031001</v>
      </c>
      <c r="E310" s="646">
        <v>20031001</v>
      </c>
      <c r="F310" s="639"/>
      <c r="G310" s="45"/>
      <c r="H310"/>
    </row>
    <row r="311" spans="1:8" ht="14.4" thickBot="1" x14ac:dyDescent="0.3">
      <c r="A311" s="644" t="s">
        <v>1215</v>
      </c>
      <c r="B311" s="643" t="s">
        <v>1214</v>
      </c>
      <c r="C311" s="645" t="s">
        <v>830</v>
      </c>
      <c r="D311" s="646">
        <v>20031001</v>
      </c>
      <c r="E311" s="646">
        <v>20031001</v>
      </c>
      <c r="F311" s="639"/>
      <c r="G311" s="45"/>
      <c r="H311"/>
    </row>
    <row r="312" spans="1:8" ht="14.4" thickBot="1" x14ac:dyDescent="0.3">
      <c r="A312" s="644" t="s">
        <v>1217</v>
      </c>
      <c r="B312" s="643" t="s">
        <v>1216</v>
      </c>
      <c r="C312" s="645" t="s">
        <v>830</v>
      </c>
      <c r="D312" s="646">
        <v>20031001</v>
      </c>
      <c r="E312" s="646">
        <v>20031001</v>
      </c>
      <c r="F312" s="639"/>
      <c r="G312" s="45"/>
      <c r="H312"/>
    </row>
    <row r="313" spans="1:8" ht="14.4" thickBot="1" x14ac:dyDescent="0.3">
      <c r="A313" s="644" t="s">
        <v>1219</v>
      </c>
      <c r="B313" s="643" t="s">
        <v>1218</v>
      </c>
      <c r="C313" s="645" t="s">
        <v>830</v>
      </c>
      <c r="D313" s="646">
        <v>20031001</v>
      </c>
      <c r="E313" s="646">
        <v>20031001</v>
      </c>
      <c r="F313" s="639"/>
      <c r="G313" s="45"/>
      <c r="H313"/>
    </row>
    <row r="314" spans="1:8" ht="14.4" thickBot="1" x14ac:dyDescent="0.3">
      <c r="A314" s="644" t="s">
        <v>1221</v>
      </c>
      <c r="B314" s="643" t="s">
        <v>1220</v>
      </c>
      <c r="C314" s="645" t="s">
        <v>830</v>
      </c>
      <c r="D314" s="646">
        <v>20031001</v>
      </c>
      <c r="E314" s="646">
        <v>20031001</v>
      </c>
      <c r="F314" s="639"/>
      <c r="G314" s="45"/>
      <c r="H314"/>
    </row>
    <row r="315" spans="1:8" ht="14.4" thickBot="1" x14ac:dyDescent="0.3">
      <c r="A315" s="644" t="s">
        <v>1223</v>
      </c>
      <c r="B315" s="643" t="s">
        <v>1222</v>
      </c>
      <c r="C315" s="645" t="s">
        <v>830</v>
      </c>
      <c r="D315" s="646">
        <v>20031001</v>
      </c>
      <c r="E315" s="646">
        <v>20031001</v>
      </c>
      <c r="F315" s="639"/>
      <c r="G315" s="45"/>
      <c r="H315"/>
    </row>
    <row r="316" spans="1:8" ht="14.4" thickBot="1" x14ac:dyDescent="0.3">
      <c r="A316" s="644" t="s">
        <v>1225</v>
      </c>
      <c r="B316" s="643" t="s">
        <v>1224</v>
      </c>
      <c r="C316" s="645" t="s">
        <v>830</v>
      </c>
      <c r="D316" s="646">
        <v>20031001</v>
      </c>
      <c r="E316" s="646">
        <v>20031001</v>
      </c>
      <c r="F316" s="639"/>
      <c r="G316" s="45"/>
      <c r="H316"/>
    </row>
    <row r="317" spans="1:8" ht="42" thickBot="1" x14ac:dyDescent="0.3">
      <c r="A317" s="644" t="s">
        <v>1227</v>
      </c>
      <c r="B317" s="643" t="s">
        <v>1226</v>
      </c>
      <c r="C317" s="645" t="s">
        <v>830</v>
      </c>
      <c r="D317" s="646">
        <v>20031001</v>
      </c>
      <c r="E317" s="646">
        <v>20031001</v>
      </c>
      <c r="F317" s="639"/>
      <c r="G317" s="45"/>
      <c r="H317"/>
    </row>
    <row r="318" spans="1:8" ht="28.2" thickBot="1" x14ac:dyDescent="0.3">
      <c r="A318" s="644" t="s">
        <v>1229</v>
      </c>
      <c r="B318" s="643" t="s">
        <v>1228</v>
      </c>
      <c r="C318" s="645" t="s">
        <v>830</v>
      </c>
      <c r="D318" s="646">
        <v>20040701</v>
      </c>
      <c r="E318" s="646">
        <v>20040701</v>
      </c>
      <c r="F318" s="639"/>
      <c r="G318" s="45"/>
      <c r="H318"/>
    </row>
    <row r="319" spans="1:8" ht="14.4" thickBot="1" x14ac:dyDescent="0.3">
      <c r="A319" s="644" t="s">
        <v>1231</v>
      </c>
      <c r="B319" s="643" t="s">
        <v>1230</v>
      </c>
      <c r="C319" s="645" t="s">
        <v>830</v>
      </c>
      <c r="D319" s="646">
        <v>20040101</v>
      </c>
      <c r="E319" s="646">
        <v>20040101</v>
      </c>
      <c r="F319" s="639"/>
      <c r="G319" s="45"/>
      <c r="H319"/>
    </row>
    <row r="320" spans="1:8" ht="28.2" thickBot="1" x14ac:dyDescent="0.3">
      <c r="A320" s="644" t="s">
        <v>1233</v>
      </c>
      <c r="B320" s="643" t="s">
        <v>1232</v>
      </c>
      <c r="C320" s="645" t="s">
        <v>827</v>
      </c>
      <c r="D320" s="646">
        <v>20050101</v>
      </c>
      <c r="E320" s="646">
        <v>20050101</v>
      </c>
      <c r="F320" s="639"/>
      <c r="G320" s="45"/>
      <c r="H320"/>
    </row>
    <row r="321" spans="1:8" ht="28.2" thickBot="1" x14ac:dyDescent="0.3">
      <c r="A321" s="644" t="s">
        <v>1235</v>
      </c>
      <c r="B321" s="643" t="s">
        <v>1234</v>
      </c>
      <c r="C321" s="645" t="s">
        <v>827</v>
      </c>
      <c r="D321" s="646">
        <v>20050101</v>
      </c>
      <c r="E321" s="646">
        <v>20050101</v>
      </c>
      <c r="F321" s="639"/>
      <c r="G321" s="45"/>
      <c r="H321"/>
    </row>
    <row r="322" spans="1:8" ht="28.2" thickBot="1" x14ac:dyDescent="0.3">
      <c r="A322" s="644" t="s">
        <v>1237</v>
      </c>
      <c r="B322" s="643" t="s">
        <v>1236</v>
      </c>
      <c r="C322" s="645" t="s">
        <v>827</v>
      </c>
      <c r="D322" s="646">
        <v>20050101</v>
      </c>
      <c r="E322" s="646">
        <v>20050101</v>
      </c>
      <c r="F322" s="639"/>
      <c r="G322" s="45"/>
      <c r="H322"/>
    </row>
    <row r="323" spans="1:8" ht="28.2" thickBot="1" x14ac:dyDescent="0.3">
      <c r="A323" s="644" t="s">
        <v>1239</v>
      </c>
      <c r="B323" s="643" t="s">
        <v>1238</v>
      </c>
      <c r="C323" s="645" t="s">
        <v>827</v>
      </c>
      <c r="D323" s="646">
        <v>20050101</v>
      </c>
      <c r="E323" s="646">
        <v>20050101</v>
      </c>
      <c r="F323" s="639"/>
      <c r="G323" s="45"/>
      <c r="H323"/>
    </row>
    <row r="324" spans="1:8" ht="28.2" thickBot="1" x14ac:dyDescent="0.3">
      <c r="A324" s="644" t="s">
        <v>1241</v>
      </c>
      <c r="B324" s="643" t="s">
        <v>1240</v>
      </c>
      <c r="C324" s="645" t="s">
        <v>827</v>
      </c>
      <c r="D324" s="646">
        <v>20050101</v>
      </c>
      <c r="E324" s="646">
        <v>20050101</v>
      </c>
      <c r="F324" s="639"/>
      <c r="G324" s="45"/>
      <c r="H324"/>
    </row>
    <row r="325" spans="1:8" ht="28.2" thickBot="1" x14ac:dyDescent="0.3">
      <c r="A325" s="644" t="s">
        <v>1243</v>
      </c>
      <c r="B325" s="643" t="s">
        <v>1242</v>
      </c>
      <c r="C325" s="645" t="s">
        <v>827</v>
      </c>
      <c r="D325" s="646">
        <v>20050101</v>
      </c>
      <c r="E325" s="646">
        <v>20050101</v>
      </c>
      <c r="F325" s="639"/>
      <c r="G325" s="45"/>
      <c r="H325"/>
    </row>
    <row r="326" spans="1:8" ht="28.2" thickBot="1" x14ac:dyDescent="0.3">
      <c r="A326" s="644" t="s">
        <v>1245</v>
      </c>
      <c r="B326" s="643" t="s">
        <v>1244</v>
      </c>
      <c r="C326" s="645" t="s">
        <v>827</v>
      </c>
      <c r="D326" s="646">
        <v>20050101</v>
      </c>
      <c r="E326" s="646">
        <v>20050101</v>
      </c>
      <c r="F326" s="639"/>
      <c r="G326" s="45"/>
      <c r="H326"/>
    </row>
    <row r="327" spans="1:8" ht="28.2" thickBot="1" x14ac:dyDescent="0.3">
      <c r="A327" s="644" t="s">
        <v>1247</v>
      </c>
      <c r="B327" s="643" t="s">
        <v>1246</v>
      </c>
      <c r="C327" s="645" t="s">
        <v>827</v>
      </c>
      <c r="D327" s="646">
        <v>20050101</v>
      </c>
      <c r="E327" s="646">
        <v>20050101</v>
      </c>
      <c r="F327" s="639"/>
      <c r="G327" s="45"/>
      <c r="H327"/>
    </row>
    <row r="328" spans="1:8" ht="28.2" thickBot="1" x14ac:dyDescent="0.3">
      <c r="A328" s="644" t="s">
        <v>1249</v>
      </c>
      <c r="B328" s="643" t="s">
        <v>1248</v>
      </c>
      <c r="C328" s="645" t="s">
        <v>827</v>
      </c>
      <c r="D328" s="646">
        <v>20050101</v>
      </c>
      <c r="E328" s="646">
        <v>20050101</v>
      </c>
      <c r="F328" s="639"/>
      <c r="G328" s="45"/>
      <c r="H328"/>
    </row>
    <row r="329" spans="1:8" ht="28.2" thickBot="1" x14ac:dyDescent="0.3">
      <c r="A329" s="644" t="s">
        <v>1251</v>
      </c>
      <c r="B329" s="643" t="s">
        <v>1250</v>
      </c>
      <c r="C329" s="645" t="s">
        <v>827</v>
      </c>
      <c r="D329" s="646">
        <v>20050101</v>
      </c>
      <c r="E329" s="646">
        <v>20050101</v>
      </c>
      <c r="F329" s="639"/>
      <c r="G329" s="45"/>
      <c r="H329"/>
    </row>
    <row r="330" spans="1:8" ht="28.2" thickBot="1" x14ac:dyDescent="0.3">
      <c r="A330" s="644" t="s">
        <v>1253</v>
      </c>
      <c r="B330" s="643" t="s">
        <v>1252</v>
      </c>
      <c r="C330" s="645" t="s">
        <v>827</v>
      </c>
      <c r="D330" s="646">
        <v>20050101</v>
      </c>
      <c r="E330" s="646">
        <v>20050101</v>
      </c>
      <c r="F330" s="639"/>
      <c r="G330" s="45"/>
      <c r="H330"/>
    </row>
    <row r="331" spans="1:8" ht="77.55" customHeight="1" thickBot="1" x14ac:dyDescent="0.3">
      <c r="A331" s="644" t="s">
        <v>1255</v>
      </c>
      <c r="B331" s="643" t="s">
        <v>1254</v>
      </c>
      <c r="C331" s="645" t="s">
        <v>827</v>
      </c>
      <c r="D331" s="646">
        <v>20050101</v>
      </c>
      <c r="E331" s="646">
        <v>20050101</v>
      </c>
      <c r="F331" s="639"/>
      <c r="G331" s="45"/>
      <c r="H331"/>
    </row>
    <row r="332" spans="1:8" ht="28.2" thickBot="1" x14ac:dyDescent="0.3">
      <c r="A332" s="644" t="s">
        <v>1257</v>
      </c>
      <c r="B332" s="643" t="s">
        <v>1256</v>
      </c>
      <c r="C332" s="645" t="s">
        <v>827</v>
      </c>
      <c r="D332" s="646">
        <v>20050101</v>
      </c>
      <c r="E332" s="646">
        <v>20050101</v>
      </c>
      <c r="F332" s="639"/>
      <c r="G332" s="45"/>
      <c r="H332"/>
    </row>
    <row r="333" spans="1:8" ht="28.2" thickBot="1" x14ac:dyDescent="0.3">
      <c r="A333" s="644" t="s">
        <v>1259</v>
      </c>
      <c r="B333" s="643" t="s">
        <v>1258</v>
      </c>
      <c r="C333" s="645" t="s">
        <v>827</v>
      </c>
      <c r="D333" s="646">
        <v>20050101</v>
      </c>
      <c r="E333" s="646">
        <v>20050101</v>
      </c>
      <c r="F333" s="639"/>
      <c r="G333" s="45"/>
      <c r="H333"/>
    </row>
    <row r="334" spans="1:8" ht="28.2" thickBot="1" x14ac:dyDescent="0.3">
      <c r="A334" s="644" t="s">
        <v>1261</v>
      </c>
      <c r="B334" s="643" t="s">
        <v>1260</v>
      </c>
      <c r="C334" s="645" t="s">
        <v>827</v>
      </c>
      <c r="D334" s="646">
        <v>20050101</v>
      </c>
      <c r="E334" s="646">
        <v>20050101</v>
      </c>
      <c r="F334" s="639"/>
      <c r="G334" s="45"/>
      <c r="H334"/>
    </row>
    <row r="335" spans="1:8" ht="28.2" thickBot="1" x14ac:dyDescent="0.3">
      <c r="A335" s="644" t="s">
        <v>1263</v>
      </c>
      <c r="B335" s="643" t="s">
        <v>1262</v>
      </c>
      <c r="C335" s="645" t="s">
        <v>827</v>
      </c>
      <c r="D335" s="646">
        <v>20050101</v>
      </c>
      <c r="E335" s="646">
        <v>20050101</v>
      </c>
      <c r="F335" s="639"/>
      <c r="G335" s="45"/>
      <c r="H335"/>
    </row>
    <row r="336" spans="1:8" ht="28.2" thickBot="1" x14ac:dyDescent="0.3">
      <c r="A336" s="644" t="s">
        <v>1265</v>
      </c>
      <c r="B336" s="643" t="s">
        <v>1264</v>
      </c>
      <c r="C336" s="645" t="s">
        <v>827</v>
      </c>
      <c r="D336" s="646">
        <v>20050101</v>
      </c>
      <c r="E336" s="646">
        <v>20050101</v>
      </c>
      <c r="F336" s="639"/>
      <c r="G336" s="45"/>
      <c r="H336"/>
    </row>
    <row r="337" spans="1:8" ht="14.4" thickBot="1" x14ac:dyDescent="0.3">
      <c r="A337" s="644" t="s">
        <v>1267</v>
      </c>
      <c r="B337" s="643" t="s">
        <v>1266</v>
      </c>
      <c r="C337" s="645" t="s">
        <v>827</v>
      </c>
      <c r="D337" s="646">
        <v>20050101</v>
      </c>
      <c r="E337" s="646">
        <v>20050101</v>
      </c>
      <c r="F337" s="639"/>
      <c r="G337" s="45"/>
      <c r="H337"/>
    </row>
    <row r="338" spans="1:8" ht="14.4" thickBot="1" x14ac:dyDescent="0.3">
      <c r="A338" s="644" t="s">
        <v>1269</v>
      </c>
      <c r="B338" s="643" t="s">
        <v>1268</v>
      </c>
      <c r="C338" s="645" t="s">
        <v>827</v>
      </c>
      <c r="D338" s="646">
        <v>20050101</v>
      </c>
      <c r="E338" s="646">
        <v>20050101</v>
      </c>
      <c r="F338" s="639"/>
      <c r="G338" s="45"/>
      <c r="H338"/>
    </row>
    <row r="339" spans="1:8" ht="28.2" thickBot="1" x14ac:dyDescent="0.3">
      <c r="A339" s="644" t="s">
        <v>1271</v>
      </c>
      <c r="B339" s="643" t="s">
        <v>1270</v>
      </c>
      <c r="C339" s="645" t="s">
        <v>827</v>
      </c>
      <c r="D339" s="646">
        <v>20050101</v>
      </c>
      <c r="E339" s="646">
        <v>20050101</v>
      </c>
      <c r="F339" s="639"/>
      <c r="G339" s="45"/>
      <c r="H339"/>
    </row>
    <row r="340" spans="1:8" ht="14.4" thickBot="1" x14ac:dyDescent="0.3">
      <c r="A340" s="644" t="s">
        <v>1273</v>
      </c>
      <c r="B340" s="643" t="s">
        <v>1272</v>
      </c>
      <c r="C340" s="645" t="s">
        <v>830</v>
      </c>
      <c r="D340" s="646">
        <v>20050101</v>
      </c>
      <c r="E340" s="646">
        <v>20050101</v>
      </c>
      <c r="F340" s="639"/>
      <c r="G340" s="45"/>
      <c r="H340"/>
    </row>
    <row r="341" spans="1:8" ht="14.4" thickBot="1" x14ac:dyDescent="0.3">
      <c r="A341" s="644" t="s">
        <v>1275</v>
      </c>
      <c r="B341" s="643" t="s">
        <v>1274</v>
      </c>
      <c r="C341" s="645" t="s">
        <v>830</v>
      </c>
      <c r="D341" s="646">
        <v>20050101</v>
      </c>
      <c r="E341" s="646">
        <v>20050101</v>
      </c>
      <c r="F341" s="639"/>
      <c r="G341" s="45"/>
      <c r="H341"/>
    </row>
    <row r="342" spans="1:8" ht="28.2" thickBot="1" x14ac:dyDescent="0.3">
      <c r="A342" s="644" t="s">
        <v>1277</v>
      </c>
      <c r="B342" s="643" t="s">
        <v>1276</v>
      </c>
      <c r="C342" s="645" t="s">
        <v>827</v>
      </c>
      <c r="D342" s="646">
        <v>20070101</v>
      </c>
      <c r="E342" s="646">
        <v>20140101</v>
      </c>
      <c r="F342" s="639"/>
      <c r="G342" s="45"/>
      <c r="H342"/>
    </row>
    <row r="343" spans="1:8" ht="28.2" thickBot="1" x14ac:dyDescent="0.3">
      <c r="A343" s="644" t="s">
        <v>1279</v>
      </c>
      <c r="B343" s="643" t="s">
        <v>1278</v>
      </c>
      <c r="C343" s="645" t="s">
        <v>827</v>
      </c>
      <c r="D343" s="646">
        <v>20140101</v>
      </c>
      <c r="E343" s="646">
        <v>20140101</v>
      </c>
      <c r="F343" s="639"/>
      <c r="G343" s="45"/>
      <c r="H343"/>
    </row>
    <row r="344" spans="1:8" ht="14.4" thickBot="1" x14ac:dyDescent="0.3">
      <c r="A344" s="644" t="s">
        <v>1281</v>
      </c>
      <c r="B344" s="643" t="s">
        <v>1280</v>
      </c>
      <c r="C344" s="645" t="s">
        <v>830</v>
      </c>
      <c r="D344" s="646">
        <v>20040101</v>
      </c>
      <c r="E344" s="646">
        <v>20070101</v>
      </c>
      <c r="F344" s="639"/>
      <c r="G344" s="45"/>
      <c r="H344"/>
    </row>
    <row r="345" spans="1:8" ht="14.4" thickBot="1" x14ac:dyDescent="0.3">
      <c r="A345" s="644" t="s">
        <v>1283</v>
      </c>
      <c r="B345" s="643" t="s">
        <v>1282</v>
      </c>
      <c r="C345" s="645" t="s">
        <v>830</v>
      </c>
      <c r="D345" s="646">
        <v>20040101</v>
      </c>
      <c r="E345" s="646">
        <v>20040101</v>
      </c>
      <c r="F345" s="639"/>
      <c r="G345" s="45"/>
      <c r="H345"/>
    </row>
    <row r="346" spans="1:8" ht="14.4" thickBot="1" x14ac:dyDescent="0.3">
      <c r="A346" s="644" t="s">
        <v>236</v>
      </c>
      <c r="B346" s="643" t="s">
        <v>1284</v>
      </c>
      <c r="C346" s="645" t="s">
        <v>827</v>
      </c>
      <c r="D346" s="639"/>
      <c r="E346" s="639"/>
      <c r="F346" s="639"/>
      <c r="G346" s="45"/>
      <c r="H346"/>
    </row>
    <row r="347" spans="1:8" ht="14.4" thickBot="1" x14ac:dyDescent="0.3">
      <c r="A347" s="644" t="s">
        <v>1286</v>
      </c>
      <c r="B347" s="643" t="s">
        <v>1285</v>
      </c>
      <c r="C347" s="645" t="s">
        <v>827</v>
      </c>
      <c r="D347" s="639"/>
      <c r="E347" s="639"/>
      <c r="F347" s="639"/>
      <c r="G347" s="45"/>
      <c r="H347"/>
    </row>
    <row r="348" spans="1:8" ht="14.4" thickBot="1" x14ac:dyDescent="0.3">
      <c r="A348" s="646" t="s">
        <v>1287</v>
      </c>
      <c r="B348" s="647">
        <v>99601</v>
      </c>
      <c r="C348" s="645" t="s">
        <v>830</v>
      </c>
      <c r="D348" s="646">
        <v>20040101</v>
      </c>
      <c r="E348" s="646">
        <v>20110101</v>
      </c>
      <c r="F348" s="639"/>
      <c r="G348" s="45"/>
      <c r="H348"/>
    </row>
    <row r="349" spans="1:8" ht="14.4" thickBot="1" x14ac:dyDescent="0.3">
      <c r="A349" s="646" t="s">
        <v>1288</v>
      </c>
      <c r="B349" s="647">
        <v>99602</v>
      </c>
      <c r="C349" s="645" t="s">
        <v>830</v>
      </c>
      <c r="D349" s="646">
        <v>20040101</v>
      </c>
      <c r="E349" s="646">
        <v>20110101</v>
      </c>
      <c r="F349" s="639"/>
      <c r="G349" s="45"/>
      <c r="H349"/>
    </row>
  </sheetData>
  <sheetProtection algorithmName="SHA-512" hashValue="tcZkzT9TKbwe2klm48Vn2lm6iVAb5iUmlJSmMJDQ+oMIpv5D5qorxXCQGcn6AfJjPi4gBWfUqwR88Goi5OdPdw==" saltValue="LfUH+12CgMENgtrd76d8BA==" spinCount="100000" sheet="1" formatColumns="0" formatRows="0"/>
  <mergeCells count="25">
    <mergeCell ref="A91:D91"/>
    <mergeCell ref="A5:F5"/>
    <mergeCell ref="A57:D58"/>
    <mergeCell ref="E57:E58"/>
    <mergeCell ref="A79:A80"/>
    <mergeCell ref="B79:B80"/>
    <mergeCell ref="C79:C80"/>
    <mergeCell ref="D79:D80"/>
    <mergeCell ref="E79:E80"/>
    <mergeCell ref="A16:A17"/>
    <mergeCell ref="B16:B17"/>
    <mergeCell ref="C16:C17"/>
    <mergeCell ref="D16:D17"/>
    <mergeCell ref="E16:E17"/>
    <mergeCell ref="A2:F2"/>
    <mergeCell ref="G14:G15"/>
    <mergeCell ref="F79:F80"/>
    <mergeCell ref="G79:G80"/>
    <mergeCell ref="A14:A15"/>
    <mergeCell ref="B14:B15"/>
    <mergeCell ref="C14:C15"/>
    <mergeCell ref="D14:D15"/>
    <mergeCell ref="E14:E15"/>
    <mergeCell ref="G16:G17"/>
    <mergeCell ref="G57:G58"/>
  </mergeCells>
  <hyperlinks>
    <hyperlink ref="D50" r:id="rId1" display="https://www.medicare.gov/coverage/durable-medical-equipment-coverage.html" xr:uid="{00000000-0004-0000-0500-000000000000}"/>
  </hyperlinks>
  <pageMargins left="0.25" right="0.25" top="0.5" bottom="0.75" header="0.3" footer="0.3"/>
  <pageSetup scale="75" fitToHeight="0"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82"/>
  <sheetViews>
    <sheetView zoomScale="60" zoomScaleNormal="60" workbookViewId="0"/>
  </sheetViews>
  <sheetFormatPr defaultColWidth="8.5546875" defaultRowHeight="13.2" x14ac:dyDescent="0.25"/>
  <cols>
    <col min="1" max="1" width="56.5546875" style="205" customWidth="1"/>
    <col min="2" max="2" width="24.5546875" style="205" customWidth="1"/>
    <col min="3" max="3" width="18.5546875" style="205" customWidth="1"/>
    <col min="4" max="4" width="17.44140625" style="205" customWidth="1"/>
    <col min="5" max="5" width="16.5546875" style="205" customWidth="1"/>
    <col min="6" max="6" width="16.44140625" style="205" customWidth="1"/>
    <col min="7" max="7" width="13.44140625" style="205" customWidth="1"/>
    <col min="8" max="8" width="11.44140625" style="205" customWidth="1"/>
    <col min="9" max="16384" width="8.5546875" style="205"/>
  </cols>
  <sheetData>
    <row r="1" spans="1:8" ht="22.8" x14ac:dyDescent="0.25">
      <c r="A1" s="609" t="s">
        <v>1299</v>
      </c>
      <c r="B1"/>
      <c r="C1"/>
      <c r="D1"/>
      <c r="E1"/>
      <c r="F1"/>
      <c r="G1"/>
    </row>
    <row r="2" spans="1:8" ht="125.85" customHeight="1" thickBot="1" x14ac:dyDescent="0.3">
      <c r="A2" s="862" t="s">
        <v>605</v>
      </c>
      <c r="B2" s="862"/>
      <c r="C2" s="862"/>
      <c r="D2" s="862"/>
      <c r="E2" s="862"/>
      <c r="F2" s="862"/>
    </row>
    <row r="3" spans="1:8" ht="53.4" thickBot="1" x14ac:dyDescent="0.3">
      <c r="A3" s="610" t="s">
        <v>606</v>
      </c>
      <c r="B3" s="611" t="s">
        <v>607</v>
      </c>
      <c r="C3" s="611" t="s">
        <v>608</v>
      </c>
      <c r="D3" s="611" t="s">
        <v>609</v>
      </c>
      <c r="E3" s="611" t="s">
        <v>610</v>
      </c>
      <c r="F3" s="611" t="s">
        <v>611</v>
      </c>
      <c r="G3" s="658" t="s">
        <v>1310</v>
      </c>
      <c r="H3" s="658" t="s">
        <v>1311</v>
      </c>
    </row>
    <row r="4" spans="1:8" ht="13.8" thickBot="1" x14ac:dyDescent="0.3">
      <c r="A4" s="623" t="s">
        <v>464</v>
      </c>
      <c r="B4" s="624"/>
      <c r="C4" s="624"/>
      <c r="D4" s="624"/>
      <c r="E4" s="624"/>
      <c r="F4" s="625"/>
      <c r="G4" s="625"/>
      <c r="H4" s="625"/>
    </row>
    <row r="5" spans="1:8" x14ac:dyDescent="0.25">
      <c r="A5" s="612" t="s">
        <v>465</v>
      </c>
      <c r="B5" s="860" t="s">
        <v>612</v>
      </c>
      <c r="C5" s="864"/>
      <c r="D5" s="613" t="s">
        <v>613</v>
      </c>
      <c r="E5" s="864"/>
      <c r="F5" s="858" t="s">
        <v>614</v>
      </c>
      <c r="G5" s="859">
        <v>2</v>
      </c>
      <c r="H5" s="859">
        <v>14</v>
      </c>
    </row>
    <row r="6" spans="1:8" x14ac:dyDescent="0.25">
      <c r="A6" s="612" t="s">
        <v>467</v>
      </c>
      <c r="B6" s="860"/>
      <c r="C6" s="864"/>
      <c r="D6" s="613"/>
      <c r="E6" s="864"/>
      <c r="F6" s="858"/>
      <c r="G6" s="860"/>
      <c r="H6" s="860"/>
    </row>
    <row r="7" spans="1:8" ht="39.6" x14ac:dyDescent="0.25">
      <c r="A7" s="612" t="s">
        <v>468</v>
      </c>
      <c r="B7" s="860"/>
      <c r="C7" s="864"/>
      <c r="D7" s="613" t="s">
        <v>615</v>
      </c>
      <c r="E7" s="864"/>
      <c r="F7" s="858"/>
      <c r="G7" s="860"/>
      <c r="H7" s="860"/>
    </row>
    <row r="8" spans="1:8" x14ac:dyDescent="0.25">
      <c r="A8" s="612" t="s">
        <v>469</v>
      </c>
      <c r="B8" s="860"/>
      <c r="C8" s="864"/>
      <c r="D8" s="614"/>
      <c r="E8" s="864"/>
      <c r="F8" s="858"/>
      <c r="G8" s="860"/>
      <c r="H8" s="860"/>
    </row>
    <row r="9" spans="1:8" ht="27" thickBot="1" x14ac:dyDescent="0.3">
      <c r="A9" s="615" t="s">
        <v>616</v>
      </c>
      <c r="B9" s="861"/>
      <c r="C9" s="865"/>
      <c r="D9" s="616"/>
      <c r="E9" s="865"/>
      <c r="F9" s="843"/>
      <c r="G9" s="861"/>
      <c r="H9" s="861"/>
    </row>
    <row r="10" spans="1:8" x14ac:dyDescent="0.25">
      <c r="A10" s="612" t="s">
        <v>465</v>
      </c>
      <c r="B10" s="859" t="s">
        <v>617</v>
      </c>
      <c r="C10" s="863"/>
      <c r="D10" s="613" t="s">
        <v>618</v>
      </c>
      <c r="E10" s="863"/>
      <c r="F10" s="842" t="s">
        <v>619</v>
      </c>
      <c r="G10" s="859">
        <v>1</v>
      </c>
      <c r="H10" s="859">
        <v>13</v>
      </c>
    </row>
    <row r="11" spans="1:8" x14ac:dyDescent="0.25">
      <c r="A11" s="612" t="s">
        <v>467</v>
      </c>
      <c r="B11" s="860"/>
      <c r="C11" s="864"/>
      <c r="D11" s="613" t="s">
        <v>613</v>
      </c>
      <c r="E11" s="864"/>
      <c r="F11" s="858"/>
      <c r="G11" s="860"/>
      <c r="H11" s="860"/>
    </row>
    <row r="12" spans="1:8" ht="13.8" thickBot="1" x14ac:dyDescent="0.3">
      <c r="A12" s="615" t="s">
        <v>469</v>
      </c>
      <c r="B12" s="861"/>
      <c r="C12" s="865"/>
      <c r="D12" s="617" t="s">
        <v>620</v>
      </c>
      <c r="E12" s="865"/>
      <c r="F12" s="843"/>
      <c r="G12" s="861"/>
      <c r="H12" s="861"/>
    </row>
    <row r="13" spans="1:8" ht="27" thickBot="1" x14ac:dyDescent="0.3">
      <c r="A13" s="615" t="s">
        <v>621</v>
      </c>
      <c r="B13" s="617" t="s">
        <v>622</v>
      </c>
      <c r="C13" s="617" t="s">
        <v>623</v>
      </c>
      <c r="D13" s="618"/>
      <c r="E13" s="618"/>
      <c r="F13" s="619" t="s">
        <v>229</v>
      </c>
      <c r="G13" s="619">
        <v>13</v>
      </c>
      <c r="H13" s="619">
        <v>27</v>
      </c>
    </row>
    <row r="14" spans="1:8" ht="13.8" thickBot="1" x14ac:dyDescent="0.3">
      <c r="A14" s="615" t="s">
        <v>624</v>
      </c>
      <c r="B14" s="617" t="s">
        <v>625</v>
      </c>
      <c r="C14" s="617">
        <v>17</v>
      </c>
      <c r="D14" s="617"/>
      <c r="E14" s="617"/>
      <c r="F14" s="619" t="s">
        <v>230</v>
      </c>
      <c r="G14" s="619">
        <v>22</v>
      </c>
      <c r="H14" s="619">
        <v>36</v>
      </c>
    </row>
    <row r="15" spans="1:8" ht="13.8" thickBot="1" x14ac:dyDescent="0.3">
      <c r="A15" s="623" t="s">
        <v>626</v>
      </c>
      <c r="B15" s="624"/>
      <c r="C15" s="624"/>
      <c r="D15" s="624"/>
      <c r="E15" s="624"/>
      <c r="F15" s="625"/>
      <c r="G15" s="625"/>
      <c r="H15" s="625"/>
    </row>
    <row r="16" spans="1:8" x14ac:dyDescent="0.25">
      <c r="A16" s="612" t="s">
        <v>627</v>
      </c>
      <c r="B16" s="859" t="s">
        <v>628</v>
      </c>
      <c r="C16" s="863"/>
      <c r="D16" s="859"/>
      <c r="E16" s="859" t="s">
        <v>629</v>
      </c>
      <c r="F16" s="842" t="s">
        <v>645</v>
      </c>
      <c r="G16" s="859">
        <v>3</v>
      </c>
      <c r="H16" s="859">
        <v>15</v>
      </c>
    </row>
    <row r="17" spans="1:8" x14ac:dyDescent="0.25">
      <c r="A17" s="612" t="s">
        <v>630</v>
      </c>
      <c r="B17" s="860"/>
      <c r="C17" s="864"/>
      <c r="D17" s="860"/>
      <c r="E17" s="860"/>
      <c r="F17" s="858"/>
      <c r="G17" s="860"/>
      <c r="H17" s="860"/>
    </row>
    <row r="18" spans="1:8" ht="13.8" thickBot="1" x14ac:dyDescent="0.3">
      <c r="A18" s="615" t="s">
        <v>631</v>
      </c>
      <c r="B18" s="861"/>
      <c r="C18" s="865"/>
      <c r="D18" s="861"/>
      <c r="E18" s="861"/>
      <c r="F18" s="843"/>
      <c r="G18" s="861"/>
      <c r="H18" s="861"/>
    </row>
    <row r="19" spans="1:8" ht="40.200000000000003" thickBot="1" x14ac:dyDescent="0.3">
      <c r="A19" s="620" t="s">
        <v>632</v>
      </c>
      <c r="B19" s="617" t="s">
        <v>628</v>
      </c>
      <c r="C19" s="618"/>
      <c r="D19" s="618"/>
      <c r="E19" s="617" t="s">
        <v>633</v>
      </c>
      <c r="F19" s="619" t="s">
        <v>634</v>
      </c>
      <c r="G19" s="617">
        <v>4</v>
      </c>
      <c r="H19" s="617">
        <v>16</v>
      </c>
    </row>
    <row r="20" spans="1:8" x14ac:dyDescent="0.25">
      <c r="A20" s="612" t="s">
        <v>635</v>
      </c>
      <c r="B20" s="859" t="s">
        <v>636</v>
      </c>
      <c r="C20" s="863"/>
      <c r="D20" s="613" t="s">
        <v>637</v>
      </c>
      <c r="E20" s="859" t="s">
        <v>638</v>
      </c>
      <c r="F20" s="866" t="s">
        <v>634</v>
      </c>
      <c r="G20" s="859">
        <v>4</v>
      </c>
      <c r="H20" s="859">
        <v>16</v>
      </c>
    </row>
    <row r="21" spans="1:8" ht="39.6" x14ac:dyDescent="0.25">
      <c r="A21" s="612" t="s">
        <v>639</v>
      </c>
      <c r="B21" s="860"/>
      <c r="C21" s="864"/>
      <c r="D21" s="613" t="s">
        <v>640</v>
      </c>
      <c r="E21" s="860"/>
      <c r="F21" s="867"/>
      <c r="G21" s="860"/>
      <c r="H21" s="860"/>
    </row>
    <row r="22" spans="1:8" x14ac:dyDescent="0.25">
      <c r="A22" s="612" t="s">
        <v>630</v>
      </c>
      <c r="B22" s="860"/>
      <c r="C22" s="864"/>
      <c r="D22" s="614"/>
      <c r="E22" s="860"/>
      <c r="F22" s="867"/>
      <c r="G22" s="860"/>
      <c r="H22" s="860"/>
    </row>
    <row r="23" spans="1:8" x14ac:dyDescent="0.25">
      <c r="A23" s="612" t="s">
        <v>631</v>
      </c>
      <c r="B23" s="860"/>
      <c r="C23" s="864"/>
      <c r="D23" s="614"/>
      <c r="E23" s="860"/>
      <c r="F23" s="867"/>
      <c r="G23" s="860"/>
      <c r="H23" s="860"/>
    </row>
    <row r="24" spans="1:8" ht="13.8" thickBot="1" x14ac:dyDescent="0.3">
      <c r="A24" s="612" t="s">
        <v>641</v>
      </c>
      <c r="B24" s="861"/>
      <c r="C24" s="865"/>
      <c r="D24" s="614"/>
      <c r="E24" s="861"/>
      <c r="F24" s="868"/>
      <c r="G24" s="861"/>
      <c r="H24" s="861"/>
    </row>
    <row r="25" spans="1:8" x14ac:dyDescent="0.25">
      <c r="A25" s="621" t="s">
        <v>642</v>
      </c>
      <c r="B25" s="859" t="s">
        <v>628</v>
      </c>
      <c r="C25" s="863"/>
      <c r="D25" s="859" t="s">
        <v>643</v>
      </c>
      <c r="E25" s="859" t="s">
        <v>644</v>
      </c>
      <c r="F25" s="866" t="s">
        <v>645</v>
      </c>
      <c r="G25" s="860">
        <v>3</v>
      </c>
      <c r="H25" s="860">
        <v>15</v>
      </c>
    </row>
    <row r="26" spans="1:8" x14ac:dyDescent="0.25">
      <c r="A26" s="612" t="s">
        <v>627</v>
      </c>
      <c r="B26" s="860"/>
      <c r="C26" s="864"/>
      <c r="D26" s="860"/>
      <c r="E26" s="860"/>
      <c r="F26" s="867"/>
      <c r="G26" s="860"/>
      <c r="H26" s="860"/>
    </row>
    <row r="27" spans="1:8" x14ac:dyDescent="0.25">
      <c r="A27" s="612" t="s">
        <v>646</v>
      </c>
      <c r="B27" s="860"/>
      <c r="C27" s="864"/>
      <c r="D27" s="860"/>
      <c r="E27" s="860"/>
      <c r="F27" s="867"/>
      <c r="G27" s="860"/>
      <c r="H27" s="860"/>
    </row>
    <row r="28" spans="1:8" x14ac:dyDescent="0.25">
      <c r="A28" s="612" t="s">
        <v>630</v>
      </c>
      <c r="B28" s="860"/>
      <c r="C28" s="864"/>
      <c r="D28" s="860"/>
      <c r="E28" s="860"/>
      <c r="F28" s="867"/>
      <c r="G28" s="860"/>
      <c r="H28" s="860"/>
    </row>
    <row r="29" spans="1:8" ht="13.8" thickBot="1" x14ac:dyDescent="0.3">
      <c r="A29" s="615" t="s">
        <v>631</v>
      </c>
      <c r="B29" s="861"/>
      <c r="C29" s="865"/>
      <c r="D29" s="861"/>
      <c r="E29" s="861"/>
      <c r="F29" s="868"/>
      <c r="G29" s="861"/>
      <c r="H29" s="861"/>
    </row>
    <row r="30" spans="1:8" ht="13.8" thickBot="1" x14ac:dyDescent="0.3">
      <c r="A30" s="623" t="s">
        <v>647</v>
      </c>
      <c r="B30" s="624"/>
      <c r="C30" s="624"/>
      <c r="D30" s="624"/>
      <c r="E30" s="624"/>
      <c r="F30" s="625"/>
      <c r="G30" s="660"/>
      <c r="H30" s="660"/>
    </row>
    <row r="31" spans="1:8" x14ac:dyDescent="0.25">
      <c r="A31" s="612" t="s">
        <v>648</v>
      </c>
      <c r="B31" s="859"/>
      <c r="C31" s="859" t="s">
        <v>649</v>
      </c>
      <c r="D31" s="613" t="s">
        <v>637</v>
      </c>
      <c r="E31" s="863"/>
      <c r="F31" s="842" t="s">
        <v>634</v>
      </c>
      <c r="G31" s="859">
        <v>4</v>
      </c>
      <c r="H31" s="859">
        <v>16</v>
      </c>
    </row>
    <row r="32" spans="1:8" ht="40.200000000000003" thickBot="1" x14ac:dyDescent="0.3">
      <c r="A32" s="615" t="s">
        <v>650</v>
      </c>
      <c r="B32" s="861"/>
      <c r="C32" s="861"/>
      <c r="D32" s="617" t="s">
        <v>640</v>
      </c>
      <c r="E32" s="865"/>
      <c r="F32" s="843"/>
      <c r="G32" s="861"/>
      <c r="H32" s="861"/>
    </row>
    <row r="33" spans="1:8" x14ac:dyDescent="0.25">
      <c r="A33" s="612" t="s">
        <v>651</v>
      </c>
      <c r="B33" s="859"/>
      <c r="C33" s="859" t="s">
        <v>652</v>
      </c>
      <c r="D33" s="863"/>
      <c r="E33" s="863"/>
      <c r="F33" s="842" t="s">
        <v>634</v>
      </c>
      <c r="G33" s="859">
        <v>4</v>
      </c>
      <c r="H33" s="859">
        <v>16</v>
      </c>
    </row>
    <row r="34" spans="1:8" x14ac:dyDescent="0.25">
      <c r="A34" s="612" t="s">
        <v>653</v>
      </c>
      <c r="B34" s="860"/>
      <c r="C34" s="860"/>
      <c r="D34" s="864"/>
      <c r="E34" s="864"/>
      <c r="F34" s="858"/>
      <c r="G34" s="860"/>
      <c r="H34" s="860"/>
    </row>
    <row r="35" spans="1:8" x14ac:dyDescent="0.25">
      <c r="A35" s="612" t="s">
        <v>654</v>
      </c>
      <c r="B35" s="860"/>
      <c r="C35" s="860"/>
      <c r="D35" s="864"/>
      <c r="E35" s="864"/>
      <c r="F35" s="858"/>
      <c r="G35" s="860"/>
      <c r="H35" s="860"/>
    </row>
    <row r="36" spans="1:8" ht="13.8" thickBot="1" x14ac:dyDescent="0.3">
      <c r="A36" s="615" t="s">
        <v>655</v>
      </c>
      <c r="B36" s="861"/>
      <c r="C36" s="861"/>
      <c r="D36" s="865"/>
      <c r="E36" s="865"/>
      <c r="F36" s="843"/>
      <c r="G36" s="861"/>
      <c r="H36" s="861"/>
    </row>
    <row r="37" spans="1:8" ht="39.6" x14ac:dyDescent="0.25">
      <c r="A37" s="612" t="s">
        <v>656</v>
      </c>
      <c r="B37" s="859"/>
      <c r="C37" s="613" t="s">
        <v>657</v>
      </c>
      <c r="D37" s="869" t="s">
        <v>658</v>
      </c>
      <c r="E37" s="863"/>
      <c r="F37" s="842" t="s">
        <v>234</v>
      </c>
      <c r="G37" s="859">
        <v>5</v>
      </c>
      <c r="H37" s="859">
        <v>17</v>
      </c>
    </row>
    <row r="38" spans="1:8" x14ac:dyDescent="0.25">
      <c r="A38" s="612" t="s">
        <v>659</v>
      </c>
      <c r="B38" s="860"/>
      <c r="C38" s="613" t="s">
        <v>660</v>
      </c>
      <c r="D38" s="870"/>
      <c r="E38" s="864"/>
      <c r="F38" s="858"/>
      <c r="G38" s="860"/>
      <c r="H38" s="860"/>
    </row>
    <row r="39" spans="1:8" ht="26.4" x14ac:dyDescent="0.25">
      <c r="A39" s="612" t="s">
        <v>661</v>
      </c>
      <c r="B39" s="860"/>
      <c r="C39" s="613" t="s">
        <v>662</v>
      </c>
      <c r="D39" s="870"/>
      <c r="E39" s="864"/>
      <c r="F39" s="858"/>
      <c r="G39" s="860"/>
      <c r="H39" s="860"/>
    </row>
    <row r="40" spans="1:8" x14ac:dyDescent="0.25">
      <c r="A40" s="612" t="s">
        <v>663</v>
      </c>
      <c r="B40" s="860"/>
      <c r="C40" s="613" t="s">
        <v>664</v>
      </c>
      <c r="D40" s="870"/>
      <c r="E40" s="864"/>
      <c r="F40" s="858"/>
      <c r="G40" s="860"/>
      <c r="H40" s="860"/>
    </row>
    <row r="41" spans="1:8" x14ac:dyDescent="0.25">
      <c r="A41" s="612" t="s">
        <v>665</v>
      </c>
      <c r="B41" s="860"/>
      <c r="C41" s="613" t="s">
        <v>666</v>
      </c>
      <c r="D41" s="870"/>
      <c r="E41" s="864"/>
      <c r="F41" s="858"/>
      <c r="G41" s="860"/>
      <c r="H41" s="860"/>
    </row>
    <row r="42" spans="1:8" x14ac:dyDescent="0.25">
      <c r="A42" s="612" t="s">
        <v>650</v>
      </c>
      <c r="B42" s="860"/>
      <c r="C42" s="614"/>
      <c r="D42" s="870"/>
      <c r="E42" s="864"/>
      <c r="F42" s="858"/>
      <c r="G42" s="860"/>
      <c r="H42" s="860"/>
    </row>
    <row r="43" spans="1:8" ht="26.4" x14ac:dyDescent="0.25">
      <c r="A43" s="612" t="s">
        <v>667</v>
      </c>
      <c r="B43" s="860"/>
      <c r="C43" s="614"/>
      <c r="D43" s="870"/>
      <c r="E43" s="864"/>
      <c r="F43" s="858"/>
      <c r="G43" s="860"/>
      <c r="H43" s="860"/>
    </row>
    <row r="44" spans="1:8" ht="13.8" thickBot="1" x14ac:dyDescent="0.3">
      <c r="A44" s="615" t="s">
        <v>668</v>
      </c>
      <c r="B44" s="861"/>
      <c r="C44" s="616"/>
      <c r="D44" s="871"/>
      <c r="E44" s="865"/>
      <c r="F44" s="843"/>
      <c r="G44" s="861"/>
      <c r="H44" s="861"/>
    </row>
    <row r="45" spans="1:8" ht="13.8" thickBot="1" x14ac:dyDescent="0.3">
      <c r="A45" s="623" t="s">
        <v>669</v>
      </c>
      <c r="B45" s="624"/>
      <c r="C45" s="624"/>
      <c r="D45" s="624"/>
      <c r="E45" s="624"/>
      <c r="F45" s="625"/>
      <c r="G45" s="625"/>
      <c r="H45" s="625"/>
    </row>
    <row r="46" spans="1:8" ht="27" thickBot="1" x14ac:dyDescent="0.3">
      <c r="A46" s="615" t="s">
        <v>670</v>
      </c>
      <c r="B46" s="617"/>
      <c r="C46" s="617" t="s">
        <v>671</v>
      </c>
      <c r="D46" s="618"/>
      <c r="E46" s="618"/>
      <c r="F46" s="619" t="s">
        <v>672</v>
      </c>
      <c r="G46" s="617" t="s">
        <v>1364</v>
      </c>
      <c r="H46" s="619" t="s">
        <v>1361</v>
      </c>
    </row>
    <row r="47" spans="1:8" x14ac:dyDescent="0.25">
      <c r="A47" s="612" t="s">
        <v>673</v>
      </c>
      <c r="B47" s="859"/>
      <c r="C47" s="859" t="s">
        <v>674</v>
      </c>
      <c r="D47" s="863"/>
      <c r="E47" s="863"/>
      <c r="F47" s="842" t="s">
        <v>240</v>
      </c>
      <c r="G47" s="842">
        <v>21</v>
      </c>
      <c r="H47" s="842">
        <v>35</v>
      </c>
    </row>
    <row r="48" spans="1:8" x14ac:dyDescent="0.25">
      <c r="A48" s="612" t="s">
        <v>675</v>
      </c>
      <c r="B48" s="860"/>
      <c r="C48" s="860"/>
      <c r="D48" s="864"/>
      <c r="E48" s="864"/>
      <c r="F48" s="858"/>
      <c r="G48" s="858"/>
      <c r="H48" s="858"/>
    </row>
    <row r="49" spans="1:8" x14ac:dyDescent="0.25">
      <c r="A49" s="612" t="s">
        <v>676</v>
      </c>
      <c r="B49" s="860"/>
      <c r="C49" s="860"/>
      <c r="D49" s="864"/>
      <c r="E49" s="864"/>
      <c r="F49" s="858"/>
      <c r="G49" s="858"/>
      <c r="H49" s="858"/>
    </row>
    <row r="50" spans="1:8" x14ac:dyDescent="0.25">
      <c r="A50" s="612" t="s">
        <v>677</v>
      </c>
      <c r="B50" s="860"/>
      <c r="C50" s="860"/>
      <c r="D50" s="864"/>
      <c r="E50" s="864"/>
      <c r="F50" s="858"/>
      <c r="G50" s="858"/>
      <c r="H50" s="858"/>
    </row>
    <row r="51" spans="1:8" x14ac:dyDescent="0.25">
      <c r="A51" s="612" t="s">
        <v>678</v>
      </c>
      <c r="B51" s="860"/>
      <c r="C51" s="860"/>
      <c r="D51" s="864"/>
      <c r="E51" s="864"/>
      <c r="F51" s="858"/>
      <c r="G51" s="858"/>
      <c r="H51" s="858"/>
    </row>
    <row r="52" spans="1:8" ht="13.8" thickBot="1" x14ac:dyDescent="0.3">
      <c r="A52" s="622" t="s">
        <v>679</v>
      </c>
      <c r="B52" s="861"/>
      <c r="C52" s="861"/>
      <c r="D52" s="865"/>
      <c r="E52" s="865"/>
      <c r="F52" s="843"/>
      <c r="G52" s="843"/>
      <c r="H52" s="843"/>
    </row>
    <row r="53" spans="1:8" ht="13.35" customHeight="1" x14ac:dyDescent="0.25">
      <c r="A53" s="621" t="s">
        <v>680</v>
      </c>
      <c r="B53" s="661"/>
      <c r="C53" s="663" t="s">
        <v>681</v>
      </c>
      <c r="D53" s="654"/>
      <c r="E53" s="654"/>
      <c r="F53" s="842" t="s">
        <v>236</v>
      </c>
      <c r="G53" s="842">
        <v>6</v>
      </c>
      <c r="H53" s="842">
        <v>18</v>
      </c>
    </row>
    <row r="54" spans="1:8" x14ac:dyDescent="0.25">
      <c r="A54" s="612" t="s">
        <v>682</v>
      </c>
      <c r="B54" s="662"/>
      <c r="C54" s="613" t="s">
        <v>683</v>
      </c>
      <c r="D54" s="655"/>
      <c r="E54" s="655"/>
      <c r="F54" s="858"/>
      <c r="G54" s="858"/>
      <c r="H54" s="858"/>
    </row>
    <row r="55" spans="1:8" ht="27" thickBot="1" x14ac:dyDescent="0.3">
      <c r="A55" s="615" t="s">
        <v>684</v>
      </c>
      <c r="B55" s="620"/>
      <c r="C55" s="617" t="s">
        <v>685</v>
      </c>
      <c r="D55" s="656"/>
      <c r="E55" s="656"/>
      <c r="F55" s="843"/>
      <c r="G55" s="843"/>
      <c r="H55" s="843"/>
    </row>
    <row r="56" spans="1:8" x14ac:dyDescent="0.25">
      <c r="A56" s="621" t="s">
        <v>686</v>
      </c>
      <c r="B56" s="661"/>
      <c r="C56" s="664"/>
      <c r="D56" s="654"/>
      <c r="E56" s="654"/>
      <c r="F56" s="842" t="s">
        <v>201</v>
      </c>
      <c r="G56" s="842">
        <v>7</v>
      </c>
      <c r="H56" s="842">
        <v>19</v>
      </c>
    </row>
    <row r="57" spans="1:8" x14ac:dyDescent="0.25">
      <c r="A57" s="612" t="s">
        <v>687</v>
      </c>
      <c r="B57" s="662"/>
      <c r="C57" s="614"/>
      <c r="D57" s="655"/>
      <c r="E57" s="655"/>
      <c r="F57" s="858"/>
      <c r="G57" s="858"/>
      <c r="H57" s="858"/>
    </row>
    <row r="58" spans="1:8" x14ac:dyDescent="0.25">
      <c r="A58" s="612" t="s">
        <v>688</v>
      </c>
      <c r="B58" s="662"/>
      <c r="C58" s="614"/>
      <c r="D58" s="655"/>
      <c r="E58" s="655"/>
      <c r="F58" s="858"/>
      <c r="G58" s="858"/>
      <c r="H58" s="858"/>
    </row>
    <row r="59" spans="1:8" ht="13.8" thickBot="1" x14ac:dyDescent="0.3">
      <c r="A59" s="615" t="s">
        <v>689</v>
      </c>
      <c r="B59" s="620"/>
      <c r="C59" s="616"/>
      <c r="D59" s="656"/>
      <c r="E59" s="656"/>
      <c r="F59" s="843"/>
      <c r="G59" s="843"/>
      <c r="H59" s="843"/>
    </row>
    <row r="60" spans="1:8" x14ac:dyDescent="0.25">
      <c r="A60" s="621" t="s">
        <v>691</v>
      </c>
      <c r="B60" s="661"/>
      <c r="C60" s="664"/>
      <c r="D60" s="654"/>
      <c r="E60" s="654"/>
      <c r="F60" s="842" t="s">
        <v>239</v>
      </c>
      <c r="G60" s="842">
        <v>8</v>
      </c>
      <c r="H60" s="842">
        <v>20</v>
      </c>
    </row>
    <row r="61" spans="1:8" ht="13.8" thickBot="1" x14ac:dyDescent="0.3">
      <c r="A61" s="615" t="s">
        <v>696</v>
      </c>
      <c r="B61" s="620"/>
      <c r="C61" s="616"/>
      <c r="D61" s="656"/>
      <c r="E61" s="656"/>
      <c r="F61" s="843"/>
      <c r="G61" s="843"/>
      <c r="H61" s="843"/>
    </row>
    <row r="62" spans="1:8" x14ac:dyDescent="0.25">
      <c r="A62" s="621" t="s">
        <v>693</v>
      </c>
      <c r="B62" s="661"/>
      <c r="C62" s="664"/>
      <c r="D62" s="654"/>
      <c r="E62" s="654"/>
      <c r="F62" s="842" t="s">
        <v>234</v>
      </c>
      <c r="G62" s="842">
        <v>5</v>
      </c>
      <c r="H62" s="842">
        <v>17</v>
      </c>
    </row>
    <row r="63" spans="1:8" ht="13.8" thickBot="1" x14ac:dyDescent="0.3">
      <c r="A63" s="615" t="s">
        <v>694</v>
      </c>
      <c r="B63" s="620"/>
      <c r="C63" s="616"/>
      <c r="D63" s="656"/>
      <c r="E63" s="656"/>
      <c r="F63" s="843"/>
      <c r="G63" s="843"/>
      <c r="H63" s="843"/>
    </row>
    <row r="64" spans="1:8" x14ac:dyDescent="0.25">
      <c r="A64" s="612" t="s">
        <v>690</v>
      </c>
      <c r="B64" s="662"/>
      <c r="C64" s="614"/>
      <c r="D64" s="655"/>
      <c r="E64" s="655"/>
      <c r="F64" s="842" t="s">
        <v>286</v>
      </c>
      <c r="G64" s="842">
        <v>25</v>
      </c>
      <c r="H64" s="842">
        <v>39</v>
      </c>
    </row>
    <row r="65" spans="1:8" x14ac:dyDescent="0.25">
      <c r="A65" s="612" t="s">
        <v>692</v>
      </c>
      <c r="B65" s="662"/>
      <c r="C65" s="614"/>
      <c r="D65" s="655"/>
      <c r="E65" s="655"/>
      <c r="F65" s="858"/>
      <c r="G65" s="858"/>
      <c r="H65" s="858"/>
    </row>
    <row r="66" spans="1:8" x14ac:dyDescent="0.25">
      <c r="A66" s="612" t="s">
        <v>695</v>
      </c>
      <c r="B66" s="662"/>
      <c r="C66" s="614"/>
      <c r="D66" s="655"/>
      <c r="E66" s="655"/>
      <c r="F66" s="858"/>
      <c r="G66" s="858"/>
      <c r="H66" s="858"/>
    </row>
    <row r="67" spans="1:8" x14ac:dyDescent="0.25">
      <c r="A67" s="612" t="s">
        <v>697</v>
      </c>
      <c r="B67" s="662"/>
      <c r="C67" s="614"/>
      <c r="D67" s="655"/>
      <c r="E67" s="655"/>
      <c r="F67" s="858"/>
      <c r="G67" s="858"/>
      <c r="H67" s="858"/>
    </row>
    <row r="68" spans="1:8" x14ac:dyDescent="0.25">
      <c r="A68" s="612" t="s">
        <v>698</v>
      </c>
      <c r="B68" s="662"/>
      <c r="C68" s="614"/>
      <c r="D68" s="655"/>
      <c r="E68" s="655"/>
      <c r="F68" s="858"/>
      <c r="G68" s="858"/>
      <c r="H68" s="858"/>
    </row>
    <row r="69" spans="1:8" x14ac:dyDescent="0.25">
      <c r="A69" s="612" t="s">
        <v>699</v>
      </c>
      <c r="B69" s="662"/>
      <c r="C69" s="614"/>
      <c r="D69" s="655"/>
      <c r="E69" s="655"/>
      <c r="F69" s="858"/>
      <c r="G69" s="858"/>
      <c r="H69" s="858"/>
    </row>
    <row r="70" spans="1:8" ht="13.8" thickBot="1" x14ac:dyDescent="0.3">
      <c r="A70" s="615" t="s">
        <v>700</v>
      </c>
      <c r="B70" s="620"/>
      <c r="C70" s="616"/>
      <c r="D70" s="656"/>
      <c r="E70" s="656"/>
      <c r="F70" s="843"/>
      <c r="G70" s="843"/>
      <c r="H70" s="843"/>
    </row>
    <row r="71" spans="1:8" ht="19.350000000000001" customHeight="1" thickBot="1" x14ac:dyDescent="0.3">
      <c r="A71" s="615" t="s">
        <v>701</v>
      </c>
      <c r="B71" s="617"/>
      <c r="C71" s="617">
        <v>59</v>
      </c>
      <c r="D71" s="618"/>
      <c r="E71" s="618"/>
      <c r="F71" s="619" t="s">
        <v>702</v>
      </c>
      <c r="G71" s="619">
        <v>20</v>
      </c>
      <c r="H71" s="619">
        <v>34</v>
      </c>
    </row>
    <row r="72" spans="1:8" ht="31.8" customHeight="1" thickBot="1" x14ac:dyDescent="0.3">
      <c r="A72" s="615" t="s">
        <v>703</v>
      </c>
      <c r="B72" s="617"/>
      <c r="C72" s="617">
        <v>80</v>
      </c>
      <c r="D72" s="618"/>
      <c r="E72" s="618"/>
      <c r="F72" s="619" t="s">
        <v>231</v>
      </c>
      <c r="G72" s="760">
        <v>23</v>
      </c>
      <c r="H72" s="760">
        <v>37</v>
      </c>
    </row>
    <row r="73" spans="1:8" x14ac:dyDescent="0.25">
      <c r="A73" s="612" t="s">
        <v>704</v>
      </c>
      <c r="B73" s="859" t="s">
        <v>705</v>
      </c>
      <c r="C73" s="859" t="s">
        <v>706</v>
      </c>
      <c r="D73" s="863"/>
      <c r="E73" s="863"/>
      <c r="F73" s="842" t="s">
        <v>1489</v>
      </c>
      <c r="G73" s="842" t="s">
        <v>1488</v>
      </c>
      <c r="H73" s="842" t="s">
        <v>1491</v>
      </c>
    </row>
    <row r="74" spans="1:8" x14ac:dyDescent="0.25">
      <c r="A74" s="612" t="s">
        <v>707</v>
      </c>
      <c r="B74" s="860"/>
      <c r="C74" s="860"/>
      <c r="D74" s="864"/>
      <c r="E74" s="864"/>
      <c r="F74" s="858"/>
      <c r="G74" s="858"/>
      <c r="H74" s="858"/>
    </row>
    <row r="75" spans="1:8" x14ac:dyDescent="0.25">
      <c r="A75" s="612" t="s">
        <v>708</v>
      </c>
      <c r="B75" s="860"/>
      <c r="C75" s="860"/>
      <c r="D75" s="864"/>
      <c r="E75" s="864"/>
      <c r="F75" s="858"/>
      <c r="G75" s="858"/>
      <c r="H75" s="858"/>
    </row>
    <row r="76" spans="1:8" x14ac:dyDescent="0.25">
      <c r="A76" s="612" t="s">
        <v>709</v>
      </c>
      <c r="B76" s="860"/>
      <c r="C76" s="860"/>
      <c r="D76" s="864"/>
      <c r="E76" s="864"/>
      <c r="F76" s="858"/>
      <c r="G76" s="858"/>
      <c r="H76" s="858"/>
    </row>
    <row r="77" spans="1:8" x14ac:dyDescent="0.25">
      <c r="A77" s="612" t="s">
        <v>710</v>
      </c>
      <c r="B77" s="860"/>
      <c r="C77" s="860"/>
      <c r="D77" s="864"/>
      <c r="E77" s="864"/>
      <c r="F77" s="858"/>
      <c r="G77" s="858"/>
      <c r="H77" s="858"/>
    </row>
    <row r="78" spans="1:8" ht="26.4" x14ac:dyDescent="0.25">
      <c r="A78" s="612" t="s">
        <v>711</v>
      </c>
      <c r="B78" s="860"/>
      <c r="C78" s="860"/>
      <c r="D78" s="864"/>
      <c r="E78" s="864"/>
      <c r="F78" s="858"/>
      <c r="G78" s="858"/>
      <c r="H78" s="858"/>
    </row>
    <row r="79" spans="1:8" x14ac:dyDescent="0.25">
      <c r="A79" s="612" t="s">
        <v>712</v>
      </c>
      <c r="B79" s="860"/>
      <c r="C79" s="860"/>
      <c r="D79" s="864"/>
      <c r="E79" s="864"/>
      <c r="F79" s="858"/>
      <c r="G79" s="858"/>
      <c r="H79" s="858"/>
    </row>
    <row r="80" spans="1:8" x14ac:dyDescent="0.25">
      <c r="A80" s="612" t="s">
        <v>713</v>
      </c>
      <c r="B80" s="860"/>
      <c r="C80" s="860"/>
      <c r="D80" s="864"/>
      <c r="E80" s="864"/>
      <c r="F80" s="858"/>
      <c r="G80" s="858"/>
      <c r="H80" s="858"/>
    </row>
    <row r="81" spans="1:8" x14ac:dyDescent="0.25">
      <c r="A81" s="612" t="s">
        <v>714</v>
      </c>
      <c r="B81" s="860"/>
      <c r="C81" s="860"/>
      <c r="D81" s="864"/>
      <c r="E81" s="864"/>
      <c r="F81" s="858"/>
      <c r="G81" s="858"/>
      <c r="H81" s="858"/>
    </row>
    <row r="82" spans="1:8" ht="13.8" thickBot="1" x14ac:dyDescent="0.3">
      <c r="A82" s="615" t="s">
        <v>715</v>
      </c>
      <c r="B82" s="861"/>
      <c r="C82" s="861"/>
      <c r="D82" s="865"/>
      <c r="E82" s="865"/>
      <c r="F82" s="843"/>
      <c r="G82" s="843"/>
      <c r="H82" s="843"/>
    </row>
  </sheetData>
  <sheetProtection algorithmName="SHA-512" hashValue="J1ivri0E6lImctOOC2em5GRQuXnAzPJvk/SnbWT7lK+JqQp0CT+IE6e7kNmw7NNVTpAUvRfMpaNb4TUxec+rPQ==" saltValue="vIk8s0E7pIyddqy9InEeig==" spinCount="100000" sheet="1" formatColumns="0" formatRows="0"/>
  <autoFilter ref="A3:H82" xr:uid="{00000000-0009-0000-0000-000006000000}"/>
  <mergeCells count="81">
    <mergeCell ref="B37:B44"/>
    <mergeCell ref="D37:D44"/>
    <mergeCell ref="E37:E44"/>
    <mergeCell ref="F37:F44"/>
    <mergeCell ref="G37:G44"/>
    <mergeCell ref="F33:F36"/>
    <mergeCell ref="B31:B32"/>
    <mergeCell ref="C31:C32"/>
    <mergeCell ref="E31:E32"/>
    <mergeCell ref="F31:F32"/>
    <mergeCell ref="B33:B36"/>
    <mergeCell ref="C33:C36"/>
    <mergeCell ref="C25:C29"/>
    <mergeCell ref="D25:D29"/>
    <mergeCell ref="E25:E29"/>
    <mergeCell ref="F25:F29"/>
    <mergeCell ref="G25:G29"/>
    <mergeCell ref="B16:B18"/>
    <mergeCell ref="C16:C18"/>
    <mergeCell ref="D16:D18"/>
    <mergeCell ref="E16:E18"/>
    <mergeCell ref="F16:F18"/>
    <mergeCell ref="B20:B24"/>
    <mergeCell ref="C20:C24"/>
    <mergeCell ref="E20:E24"/>
    <mergeCell ref="F20:F24"/>
    <mergeCell ref="G20:G24"/>
    <mergeCell ref="F10:F12"/>
    <mergeCell ref="G10:G12"/>
    <mergeCell ref="B5:B9"/>
    <mergeCell ref="C5:C9"/>
    <mergeCell ref="E5:E9"/>
    <mergeCell ref="F5:F9"/>
    <mergeCell ref="B73:B82"/>
    <mergeCell ref="C73:C82"/>
    <mergeCell ref="D73:D82"/>
    <mergeCell ref="E73:E82"/>
    <mergeCell ref="F73:F82"/>
    <mergeCell ref="A2:F2"/>
    <mergeCell ref="G47:G52"/>
    <mergeCell ref="G53:G55"/>
    <mergeCell ref="G56:G59"/>
    <mergeCell ref="F47:F52"/>
    <mergeCell ref="B25:B29"/>
    <mergeCell ref="B47:B52"/>
    <mergeCell ref="C47:C52"/>
    <mergeCell ref="D47:D52"/>
    <mergeCell ref="E47:E52"/>
    <mergeCell ref="D33:D36"/>
    <mergeCell ref="E33:E36"/>
    <mergeCell ref="G5:G9"/>
    <mergeCell ref="B10:B12"/>
    <mergeCell ref="C10:C12"/>
    <mergeCell ref="E10:E12"/>
    <mergeCell ref="G64:G70"/>
    <mergeCell ref="G73:G82"/>
    <mergeCell ref="F53:F55"/>
    <mergeCell ref="F56:F59"/>
    <mergeCell ref="F60:F61"/>
    <mergeCell ref="F62:F63"/>
    <mergeCell ref="F64:F70"/>
    <mergeCell ref="H5:H9"/>
    <mergeCell ref="H10:H12"/>
    <mergeCell ref="H16:H18"/>
    <mergeCell ref="G60:G61"/>
    <mergeCell ref="G62:G63"/>
    <mergeCell ref="G16:G18"/>
    <mergeCell ref="G31:G32"/>
    <mergeCell ref="G33:G36"/>
    <mergeCell ref="H33:H36"/>
    <mergeCell ref="H37:H44"/>
    <mergeCell ref="H47:H52"/>
    <mergeCell ref="H20:H24"/>
    <mergeCell ref="H25:H29"/>
    <mergeCell ref="H31:H32"/>
    <mergeCell ref="H62:H63"/>
    <mergeCell ref="H64:H70"/>
    <mergeCell ref="H73:H82"/>
    <mergeCell ref="H53:H55"/>
    <mergeCell ref="H56:H59"/>
    <mergeCell ref="H60:H61"/>
  </mergeCells>
  <hyperlinks>
    <hyperlink ref="D50" r:id="rId1" display="https://www.medicare.gov/coverage/durable-medical-equipment-coverage.html" xr:uid="{00000000-0004-0000-0600-000000000000}"/>
  </hyperlinks>
  <pageMargins left="0.25" right="0.25" top="0.5" bottom="0.75" header="0.3" footer="0.3"/>
  <pageSetup scale="75" fitToHeight="0"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M43"/>
  <sheetViews>
    <sheetView zoomScale="80" zoomScaleNormal="80" workbookViewId="0">
      <selection activeCell="S26" sqref="S26"/>
    </sheetView>
  </sheetViews>
  <sheetFormatPr defaultColWidth="9" defaultRowHeight="13.2" x14ac:dyDescent="0.25"/>
  <cols>
    <col min="1" max="1" width="3.5546875" style="101" customWidth="1"/>
    <col min="2" max="2" width="5.44140625" style="101" customWidth="1"/>
    <col min="3" max="3" width="26.21875" style="101" customWidth="1"/>
    <col min="4" max="12" width="14.44140625" style="101" customWidth="1"/>
    <col min="13" max="14" width="9" style="101" customWidth="1"/>
    <col min="15" max="16384" width="9" style="101"/>
  </cols>
  <sheetData>
    <row r="1" spans="2:13" ht="15.6" x14ac:dyDescent="0.3">
      <c r="B1" s="20" t="s">
        <v>1300</v>
      </c>
      <c r="C1" s="17"/>
      <c r="D1" s="17"/>
      <c r="E1" s="17"/>
      <c r="F1" s="17"/>
      <c r="G1" s="17"/>
    </row>
    <row r="2" spans="2:13" ht="15.6" x14ac:dyDescent="0.25">
      <c r="B2" s="201"/>
      <c r="C2" s="152" t="s">
        <v>276</v>
      </c>
      <c r="D2" s="445" t="str">
        <f>'Schedule 2_Balance Sheet'!C2</f>
        <v>Tufts Associated Health Plans, Inc. (TAHMO)</v>
      </c>
      <c r="E2" s="446"/>
      <c r="F2" s="446"/>
      <c r="G2" s="446"/>
      <c r="H2" s="447"/>
    </row>
    <row r="3" spans="2:13" ht="15.6" x14ac:dyDescent="0.25">
      <c r="B3" s="201"/>
      <c r="C3" s="152" t="s">
        <v>0</v>
      </c>
      <c r="D3" s="580" t="str">
        <f>'Schedule 2_Balance Sheet'!C3</f>
        <v>01/01/2024 - 12/31/2024</v>
      </c>
      <c r="E3" s="581"/>
      <c r="F3" s="581"/>
      <c r="G3" s="581"/>
      <c r="H3" s="582"/>
    </row>
    <row r="4" spans="2:13" ht="15.6" x14ac:dyDescent="0.25">
      <c r="B4" s="201"/>
      <c r="C4" s="152" t="s">
        <v>275</v>
      </c>
      <c r="D4" s="449">
        <f>'Schedule 2_Balance Sheet'!C4</f>
        <v>45657</v>
      </c>
      <c r="E4" s="446"/>
      <c r="F4" s="446"/>
      <c r="G4" s="446"/>
      <c r="H4" s="447"/>
    </row>
    <row r="5" spans="2:13" ht="15.6" x14ac:dyDescent="0.25">
      <c r="B5" s="201"/>
      <c r="C5" s="152" t="s">
        <v>274</v>
      </c>
      <c r="D5" s="445" t="str">
        <f>'Schedule 2_Balance Sheet'!C5</f>
        <v>Roshni Parikh</v>
      </c>
      <c r="E5" s="446"/>
      <c r="F5" s="446"/>
      <c r="G5" s="446"/>
      <c r="H5" s="447"/>
    </row>
    <row r="6" spans="2:13" ht="15.6" x14ac:dyDescent="0.25">
      <c r="B6" s="201"/>
      <c r="C6" s="152" t="s">
        <v>29</v>
      </c>
      <c r="D6" s="449">
        <f>'Schedule 2_Balance Sheet'!C6</f>
        <v>45657</v>
      </c>
      <c r="E6" s="446"/>
      <c r="F6" s="446"/>
      <c r="G6" s="446"/>
      <c r="H6" s="447"/>
    </row>
    <row r="7" spans="2:13" x14ac:dyDescent="0.25">
      <c r="C7" s="201" t="s">
        <v>543</v>
      </c>
      <c r="D7" s="201"/>
      <c r="E7" s="199"/>
      <c r="F7" s="199"/>
      <c r="G7" s="199"/>
      <c r="H7" s="199"/>
    </row>
    <row r="8" spans="2:13" ht="15.6" x14ac:dyDescent="0.3">
      <c r="B8" s="20"/>
      <c r="C8" s="20"/>
      <c r="D8" s="20"/>
      <c r="E8" s="20"/>
      <c r="F8" s="20"/>
      <c r="G8" s="20"/>
      <c r="H8" s="20"/>
      <c r="I8" s="20"/>
      <c r="J8" s="20"/>
      <c r="K8" s="20"/>
      <c r="L8" s="20"/>
      <c r="M8" s="111"/>
    </row>
    <row r="9" spans="2:13" ht="11.25" customHeight="1" x14ac:dyDescent="0.25">
      <c r="B9" s="111"/>
      <c r="C9" s="111"/>
      <c r="D9" s="233" t="s">
        <v>43</v>
      </c>
      <c r="E9" s="234"/>
      <c r="F9" s="233"/>
      <c r="G9" s="234"/>
      <c r="H9" s="233"/>
      <c r="I9" s="234"/>
      <c r="J9" s="233"/>
      <c r="K9" s="234"/>
      <c r="L9" s="235"/>
      <c r="M9" s="111"/>
    </row>
    <row r="10" spans="2:13" x14ac:dyDescent="0.25">
      <c r="B10" s="103" t="s">
        <v>126</v>
      </c>
      <c r="C10" s="104"/>
      <c r="D10" s="231" t="s">
        <v>273</v>
      </c>
      <c r="E10" s="232"/>
      <c r="F10" s="872" t="s">
        <v>1530</v>
      </c>
      <c r="G10" s="873"/>
      <c r="H10" s="231" t="s">
        <v>271</v>
      </c>
      <c r="I10" s="232"/>
      <c r="J10" s="231" t="s">
        <v>277</v>
      </c>
      <c r="K10" s="232"/>
      <c r="L10" s="104"/>
      <c r="M10" s="111"/>
    </row>
    <row r="11" spans="2:13" ht="39.6" x14ac:dyDescent="0.25">
      <c r="B11" s="105"/>
      <c r="C11" s="706" t="s">
        <v>199</v>
      </c>
      <c r="D11" s="707" t="s">
        <v>278</v>
      </c>
      <c r="E11" s="707" t="s">
        <v>279</v>
      </c>
      <c r="F11" s="707" t="s">
        <v>278</v>
      </c>
      <c r="G11" s="707" t="s">
        <v>279</v>
      </c>
      <c r="H11" s="707" t="s">
        <v>278</v>
      </c>
      <c r="I11" s="707" t="s">
        <v>279</v>
      </c>
      <c r="J11" s="707" t="s">
        <v>278</v>
      </c>
      <c r="K11" s="707" t="s">
        <v>279</v>
      </c>
      <c r="L11" s="707" t="s">
        <v>280</v>
      </c>
      <c r="M11" s="255"/>
    </row>
    <row r="12" spans="2:13" x14ac:dyDescent="0.25">
      <c r="B12" s="277">
        <v>1</v>
      </c>
      <c r="C12" s="102" t="s">
        <v>1536</v>
      </c>
      <c r="D12" s="682">
        <v>1205</v>
      </c>
      <c r="E12" s="682">
        <v>5035</v>
      </c>
      <c r="F12" s="682">
        <v>64</v>
      </c>
      <c r="G12" s="682">
        <v>991</v>
      </c>
      <c r="H12" s="682">
        <v>4048.0194276011935</v>
      </c>
      <c r="I12" s="682">
        <v>16151.594064329816</v>
      </c>
      <c r="J12" s="682">
        <v>30.710698848655746</v>
      </c>
      <c r="K12" s="682">
        <v>554.34016587439851</v>
      </c>
      <c r="L12" s="683">
        <f>SUM(D12:K12)</f>
        <v>28079.664356654062</v>
      </c>
    </row>
    <row r="13" spans="2:13" x14ac:dyDescent="0.25">
      <c r="B13" s="277">
        <v>2</v>
      </c>
      <c r="C13" s="102" t="s">
        <v>1537</v>
      </c>
      <c r="D13" s="682">
        <v>55</v>
      </c>
      <c r="E13" s="682">
        <v>430.03628780128054</v>
      </c>
      <c r="F13" s="682">
        <v>0</v>
      </c>
      <c r="G13" s="682">
        <v>124</v>
      </c>
      <c r="H13" s="682">
        <v>298</v>
      </c>
      <c r="I13" s="682">
        <v>1083.3063069723746</v>
      </c>
      <c r="J13" s="682">
        <v>3</v>
      </c>
      <c r="K13" s="682">
        <v>52.073671113858971</v>
      </c>
      <c r="L13" s="683">
        <f>SUM(D13:K13)</f>
        <v>2045.4162658875141</v>
      </c>
    </row>
    <row r="14" spans="2:13" x14ac:dyDescent="0.25">
      <c r="B14" s="277">
        <v>3</v>
      </c>
      <c r="C14" s="102" t="s">
        <v>1538</v>
      </c>
      <c r="D14" s="684">
        <v>108</v>
      </c>
      <c r="E14" s="684">
        <v>941</v>
      </c>
      <c r="F14" s="684">
        <v>6</v>
      </c>
      <c r="G14" s="684">
        <v>311.2675307919007</v>
      </c>
      <c r="H14" s="684">
        <v>471.21736113837125</v>
      </c>
      <c r="I14" s="684">
        <v>3546.9677691132356</v>
      </c>
      <c r="J14" s="684">
        <v>3</v>
      </c>
      <c r="K14" s="684">
        <v>155.56107798126223</v>
      </c>
      <c r="L14" s="683">
        <f>SUM(D14:K14)</f>
        <v>5543.0137390247701</v>
      </c>
    </row>
    <row r="15" spans="2:13" x14ac:dyDescent="0.25">
      <c r="B15" s="278">
        <v>4</v>
      </c>
      <c r="C15" s="106" t="s">
        <v>200</v>
      </c>
      <c r="D15" s="685">
        <f>SUM(D12:D14)</f>
        <v>1368</v>
      </c>
      <c r="E15" s="685">
        <f t="shared" ref="E15:K15" si="0">SUM(E12:E14)</f>
        <v>6406.0362878012802</v>
      </c>
      <c r="F15" s="685">
        <f t="shared" si="0"/>
        <v>70</v>
      </c>
      <c r="G15" s="685">
        <f t="shared" si="0"/>
        <v>1426.2675307919008</v>
      </c>
      <c r="H15" s="685">
        <f t="shared" si="0"/>
        <v>4817.2367887395649</v>
      </c>
      <c r="I15" s="685">
        <f t="shared" si="0"/>
        <v>20781.868140415427</v>
      </c>
      <c r="J15" s="685">
        <f t="shared" si="0"/>
        <v>36.710698848655746</v>
      </c>
      <c r="K15" s="685">
        <f t="shared" si="0"/>
        <v>761.97491496951966</v>
      </c>
      <c r="L15" s="685">
        <f>SUM(L12:L14)</f>
        <v>35668.094361566349</v>
      </c>
    </row>
    <row r="17" spans="2:13" x14ac:dyDescent="0.25">
      <c r="B17" s="103" t="s">
        <v>127</v>
      </c>
      <c r="C17" s="104"/>
      <c r="D17" s="872" t="s">
        <v>273</v>
      </c>
      <c r="E17" s="873"/>
      <c r="F17" s="872" t="s">
        <v>1530</v>
      </c>
      <c r="G17" s="873"/>
      <c r="H17" s="872" t="s">
        <v>271</v>
      </c>
      <c r="I17" s="873"/>
      <c r="J17" s="872" t="s">
        <v>277</v>
      </c>
      <c r="K17" s="873"/>
      <c r="L17" s="104"/>
      <c r="M17" s="111"/>
    </row>
    <row r="18" spans="2:13" ht="39.6" x14ac:dyDescent="0.25">
      <c r="B18" s="105"/>
      <c r="C18" s="706" t="s">
        <v>199</v>
      </c>
      <c r="D18" s="707" t="s">
        <v>278</v>
      </c>
      <c r="E18" s="707" t="s">
        <v>279</v>
      </c>
      <c r="F18" s="707" t="s">
        <v>278</v>
      </c>
      <c r="G18" s="707" t="s">
        <v>279</v>
      </c>
      <c r="H18" s="707" t="s">
        <v>278</v>
      </c>
      <c r="I18" s="707" t="s">
        <v>279</v>
      </c>
      <c r="J18" s="707" t="s">
        <v>278</v>
      </c>
      <c r="K18" s="707" t="s">
        <v>279</v>
      </c>
      <c r="L18" s="707" t="s">
        <v>280</v>
      </c>
      <c r="M18" s="255"/>
    </row>
    <row r="19" spans="2:13" x14ac:dyDescent="0.25">
      <c r="B19" s="277">
        <v>1</v>
      </c>
      <c r="C19" s="102" t="s">
        <v>1536</v>
      </c>
      <c r="D19" s="682">
        <v>1822.7268693654278</v>
      </c>
      <c r="E19" s="682">
        <v>7178.3707190381456</v>
      </c>
      <c r="F19" s="682">
        <v>41</v>
      </c>
      <c r="G19" s="682">
        <v>824</v>
      </c>
      <c r="H19" s="682">
        <v>3816.7852403474235</v>
      </c>
      <c r="I19" s="682">
        <v>15254.610357653059</v>
      </c>
      <c r="J19" s="682">
        <v>29</v>
      </c>
      <c r="K19" s="682">
        <v>495.29673399689796</v>
      </c>
      <c r="L19" s="683">
        <f>SUM(D19:K19)</f>
        <v>29461.789920400952</v>
      </c>
    </row>
    <row r="20" spans="2:13" x14ac:dyDescent="0.25">
      <c r="B20" s="277">
        <v>2</v>
      </c>
      <c r="C20" s="102" t="s">
        <v>1537</v>
      </c>
      <c r="D20" s="682">
        <v>96</v>
      </c>
      <c r="E20" s="682">
        <v>621</v>
      </c>
      <c r="F20" s="682">
        <v>2</v>
      </c>
      <c r="G20" s="682">
        <v>87</v>
      </c>
      <c r="H20" s="682">
        <v>287</v>
      </c>
      <c r="I20" s="682">
        <v>1033.7356920975371</v>
      </c>
      <c r="J20" s="682">
        <v>3</v>
      </c>
      <c r="K20" s="682">
        <v>42.963657155266901</v>
      </c>
      <c r="L20" s="683">
        <f>SUM(D20:K20)</f>
        <v>2172.699349252804</v>
      </c>
    </row>
    <row r="21" spans="2:13" x14ac:dyDescent="0.25">
      <c r="B21" s="277">
        <v>3</v>
      </c>
      <c r="C21" s="102" t="s">
        <v>1538</v>
      </c>
      <c r="D21" s="684">
        <v>225</v>
      </c>
      <c r="E21" s="684">
        <v>1426</v>
      </c>
      <c r="F21" s="684">
        <v>6</v>
      </c>
      <c r="G21" s="684">
        <v>240.6896318006188</v>
      </c>
      <c r="H21" s="684">
        <v>411.10036437263904</v>
      </c>
      <c r="I21" s="684">
        <v>3240.0708122705291</v>
      </c>
      <c r="J21" s="684">
        <v>0</v>
      </c>
      <c r="K21" s="684">
        <v>142.52744853115968</v>
      </c>
      <c r="L21" s="683">
        <f>SUM(D21:K21)</f>
        <v>5691.3882569749467</v>
      </c>
    </row>
    <row r="22" spans="2:13" x14ac:dyDescent="0.25">
      <c r="B22" s="278">
        <v>4</v>
      </c>
      <c r="C22" s="106" t="s">
        <v>200</v>
      </c>
      <c r="D22" s="685">
        <f>SUM(D19:D21)</f>
        <v>2143.7268693654278</v>
      </c>
      <c r="E22" s="685">
        <f t="shared" ref="E22:K22" si="1">SUM(E19:E21)</f>
        <v>9225.3707190381465</v>
      </c>
      <c r="F22" s="685">
        <f t="shared" si="1"/>
        <v>49</v>
      </c>
      <c r="G22" s="685">
        <f t="shared" si="1"/>
        <v>1151.6896318006188</v>
      </c>
      <c r="H22" s="685">
        <f t="shared" si="1"/>
        <v>4514.8856047200625</v>
      </c>
      <c r="I22" s="685">
        <f t="shared" si="1"/>
        <v>19528.416862021124</v>
      </c>
      <c r="J22" s="685">
        <f t="shared" si="1"/>
        <v>32</v>
      </c>
      <c r="K22" s="685">
        <f t="shared" si="1"/>
        <v>680.78783968332459</v>
      </c>
      <c r="L22" s="685">
        <f>SUM(L19:L21)</f>
        <v>37325.877526628705</v>
      </c>
    </row>
    <row r="23" spans="2:13" x14ac:dyDescent="0.25">
      <c r="D23" s="474"/>
      <c r="E23" s="474"/>
      <c r="F23" s="474"/>
      <c r="G23" s="474"/>
      <c r="H23" s="474"/>
      <c r="I23" s="474"/>
      <c r="J23" s="474"/>
      <c r="K23" s="474"/>
      <c r="L23" s="474"/>
    </row>
    <row r="24" spans="2:13" x14ac:dyDescent="0.25">
      <c r="B24" s="103" t="s">
        <v>128</v>
      </c>
      <c r="C24" s="104"/>
      <c r="D24" s="872" t="s">
        <v>273</v>
      </c>
      <c r="E24" s="873"/>
      <c r="F24" s="872" t="s">
        <v>1530</v>
      </c>
      <c r="G24" s="873"/>
      <c r="H24" s="872" t="s">
        <v>271</v>
      </c>
      <c r="I24" s="873"/>
      <c r="J24" s="872" t="s">
        <v>277</v>
      </c>
      <c r="K24" s="873"/>
      <c r="L24" s="104"/>
      <c r="M24" s="111"/>
    </row>
    <row r="25" spans="2:13" ht="39.6" x14ac:dyDescent="0.25">
      <c r="B25" s="105"/>
      <c r="C25" s="706" t="s">
        <v>199</v>
      </c>
      <c r="D25" s="707" t="s">
        <v>278</v>
      </c>
      <c r="E25" s="707" t="s">
        <v>279</v>
      </c>
      <c r="F25" s="707" t="s">
        <v>278</v>
      </c>
      <c r="G25" s="707" t="s">
        <v>279</v>
      </c>
      <c r="H25" s="707" t="s">
        <v>278</v>
      </c>
      <c r="I25" s="707" t="s">
        <v>279</v>
      </c>
      <c r="J25" s="707" t="s">
        <v>278</v>
      </c>
      <c r="K25" s="707" t="s">
        <v>279</v>
      </c>
      <c r="L25" s="707" t="s">
        <v>280</v>
      </c>
      <c r="M25" s="255"/>
    </row>
    <row r="26" spans="2:13" x14ac:dyDescent="0.25">
      <c r="B26" s="277">
        <v>1</v>
      </c>
      <c r="C26" s="102" t="s">
        <v>1536</v>
      </c>
      <c r="D26" s="682">
        <v>1882.5899441315014</v>
      </c>
      <c r="E26" s="682">
        <v>6942.5488710941645</v>
      </c>
      <c r="F26" s="682">
        <v>45</v>
      </c>
      <c r="G26" s="682">
        <v>851.38364424097176</v>
      </c>
      <c r="H26" s="682">
        <v>4171.0275805915271</v>
      </c>
      <c r="I26" s="682">
        <v>16355.573976804704</v>
      </c>
      <c r="J26" s="682">
        <v>38</v>
      </c>
      <c r="K26" s="682">
        <v>529.62325771373162</v>
      </c>
      <c r="L26" s="683">
        <f>SUM(D26:K26)</f>
        <v>30815.747274576603</v>
      </c>
    </row>
    <row r="27" spans="2:13" x14ac:dyDescent="0.25">
      <c r="B27" s="277">
        <v>2</v>
      </c>
      <c r="C27" s="102" t="s">
        <v>1537</v>
      </c>
      <c r="D27" s="682">
        <v>109</v>
      </c>
      <c r="E27" s="682">
        <v>644</v>
      </c>
      <c r="F27" s="682">
        <v>8</v>
      </c>
      <c r="G27" s="682">
        <v>91</v>
      </c>
      <c r="H27" s="682">
        <v>312.06490137486685</v>
      </c>
      <c r="I27" s="682">
        <v>1175.7687490240294</v>
      </c>
      <c r="J27" s="682">
        <v>2.3256022021661988</v>
      </c>
      <c r="K27" s="682">
        <v>47.289423696840352</v>
      </c>
      <c r="L27" s="683">
        <f>SUM(D27:K27)</f>
        <v>2389.4486762979027</v>
      </c>
    </row>
    <row r="28" spans="2:13" x14ac:dyDescent="0.25">
      <c r="B28" s="277">
        <v>3</v>
      </c>
      <c r="C28" s="102" t="s">
        <v>1538</v>
      </c>
      <c r="D28" s="684">
        <v>251</v>
      </c>
      <c r="E28" s="684">
        <v>1345</v>
      </c>
      <c r="F28" s="684">
        <v>6</v>
      </c>
      <c r="G28" s="684">
        <v>248.59089305120662</v>
      </c>
      <c r="H28" s="684">
        <v>471</v>
      </c>
      <c r="I28" s="684">
        <v>3390.3779217355532</v>
      </c>
      <c r="J28" s="684">
        <v>1</v>
      </c>
      <c r="K28" s="684">
        <v>150.66984310260474</v>
      </c>
      <c r="L28" s="683">
        <f>SUM(D28:K28)</f>
        <v>5863.6386578893644</v>
      </c>
    </row>
    <row r="29" spans="2:13" x14ac:dyDescent="0.25">
      <c r="B29" s="278">
        <v>4</v>
      </c>
      <c r="C29" s="106" t="s">
        <v>200</v>
      </c>
      <c r="D29" s="685">
        <f>SUM(D26:D28)</f>
        <v>2242.5899441315014</v>
      </c>
      <c r="E29" s="685">
        <f t="shared" ref="E29:K29" si="2">SUM(E26:E28)</f>
        <v>8931.5488710941645</v>
      </c>
      <c r="F29" s="685">
        <f t="shared" si="2"/>
        <v>59</v>
      </c>
      <c r="G29" s="685">
        <f t="shared" si="2"/>
        <v>1190.9745372921784</v>
      </c>
      <c r="H29" s="685">
        <f t="shared" si="2"/>
        <v>4954.0924819663942</v>
      </c>
      <c r="I29" s="685">
        <f t="shared" si="2"/>
        <v>20921.720647564289</v>
      </c>
      <c r="J29" s="685">
        <f t="shared" si="2"/>
        <v>41.325602202166202</v>
      </c>
      <c r="K29" s="685">
        <f t="shared" si="2"/>
        <v>727.58252451317674</v>
      </c>
      <c r="L29" s="685">
        <f>SUM(L26:L28)</f>
        <v>39068.834608763871</v>
      </c>
    </row>
    <row r="30" spans="2:13" x14ac:dyDescent="0.25">
      <c r="D30" s="474"/>
      <c r="E30" s="474"/>
      <c r="F30" s="474"/>
      <c r="G30" s="474"/>
      <c r="H30" s="474"/>
      <c r="I30" s="474"/>
      <c r="J30" s="474"/>
      <c r="K30" s="474"/>
      <c r="L30" s="474"/>
    </row>
    <row r="31" spans="2:13" x14ac:dyDescent="0.25">
      <c r="B31" s="103" t="s">
        <v>129</v>
      </c>
      <c r="C31" s="104"/>
      <c r="D31" s="872" t="s">
        <v>273</v>
      </c>
      <c r="E31" s="873"/>
      <c r="F31" s="872" t="s">
        <v>1530</v>
      </c>
      <c r="G31" s="873"/>
      <c r="H31" s="872" t="s">
        <v>271</v>
      </c>
      <c r="I31" s="873"/>
      <c r="J31" s="872" t="s">
        <v>277</v>
      </c>
      <c r="K31" s="873"/>
      <c r="L31" s="104"/>
      <c r="M31" s="111"/>
    </row>
    <row r="32" spans="2:13" ht="39.6" x14ac:dyDescent="0.25">
      <c r="B32" s="105"/>
      <c r="C32" s="706" t="s">
        <v>199</v>
      </c>
      <c r="D32" s="707" t="s">
        <v>278</v>
      </c>
      <c r="E32" s="707" t="s">
        <v>279</v>
      </c>
      <c r="F32" s="707" t="s">
        <v>278</v>
      </c>
      <c r="G32" s="707" t="s">
        <v>279</v>
      </c>
      <c r="H32" s="707" t="s">
        <v>278</v>
      </c>
      <c r="I32" s="707" t="s">
        <v>279</v>
      </c>
      <c r="J32" s="707" t="s">
        <v>278</v>
      </c>
      <c r="K32" s="707" t="s">
        <v>279</v>
      </c>
      <c r="L32" s="707" t="s">
        <v>280</v>
      </c>
      <c r="M32" s="255"/>
    </row>
    <row r="33" spans="2:12" x14ac:dyDescent="0.25">
      <c r="B33" s="277">
        <v>1</v>
      </c>
      <c r="C33" s="102" t="s">
        <v>1536</v>
      </c>
      <c r="D33" s="682">
        <v>1691.0671679239902</v>
      </c>
      <c r="E33" s="682">
        <v>6397.2368776873864</v>
      </c>
      <c r="F33" s="682">
        <v>55</v>
      </c>
      <c r="G33" s="682">
        <v>905</v>
      </c>
      <c r="H33" s="682">
        <v>4730.5436222378175</v>
      </c>
      <c r="I33" s="682">
        <v>17811.159622803214</v>
      </c>
      <c r="J33" s="682">
        <v>50</v>
      </c>
      <c r="K33" s="682">
        <v>571.26093954429302</v>
      </c>
      <c r="L33" s="683">
        <f>SUM(D33:K33)</f>
        <v>32211.2682301967</v>
      </c>
    </row>
    <row r="34" spans="2:12" x14ac:dyDescent="0.25">
      <c r="B34" s="277">
        <v>2</v>
      </c>
      <c r="C34" s="102" t="s">
        <v>1537</v>
      </c>
      <c r="D34" s="682">
        <v>91</v>
      </c>
      <c r="E34" s="682">
        <v>632</v>
      </c>
      <c r="F34" s="682">
        <v>9</v>
      </c>
      <c r="G34" s="682">
        <v>94</v>
      </c>
      <c r="H34" s="682">
        <v>352</v>
      </c>
      <c r="I34" s="682">
        <v>1343.5125006427527</v>
      </c>
      <c r="J34" s="682">
        <v>0</v>
      </c>
      <c r="K34" s="682">
        <v>42.549106445735276</v>
      </c>
      <c r="L34" s="683">
        <f>SUM(D34:K34)</f>
        <v>2564.0616070884876</v>
      </c>
    </row>
    <row r="35" spans="2:12" x14ac:dyDescent="0.25">
      <c r="B35" s="277">
        <v>3</v>
      </c>
      <c r="C35" s="102" t="s">
        <v>1538</v>
      </c>
      <c r="D35" s="684">
        <v>212</v>
      </c>
      <c r="E35" s="684">
        <v>1235</v>
      </c>
      <c r="F35" s="684">
        <v>9</v>
      </c>
      <c r="G35" s="684">
        <v>276</v>
      </c>
      <c r="H35" s="684">
        <v>548.44874483276317</v>
      </c>
      <c r="I35" s="684">
        <v>3602.3559977887112</v>
      </c>
      <c r="J35" s="684">
        <v>4</v>
      </c>
      <c r="K35" s="684">
        <v>168.10583951703612</v>
      </c>
      <c r="L35" s="683">
        <f>SUM(D35:K35)</f>
        <v>6054.9105821385101</v>
      </c>
    </row>
    <row r="36" spans="2:12" x14ac:dyDescent="0.25">
      <c r="B36" s="278">
        <v>4</v>
      </c>
      <c r="C36" s="106" t="s">
        <v>200</v>
      </c>
      <c r="D36" s="685">
        <f>SUM(D33:D35)</f>
        <v>1994.0671679239902</v>
      </c>
      <c r="E36" s="685">
        <f t="shared" ref="E36:K36" si="3">SUM(E33:E35)</f>
        <v>8264.2368776873864</v>
      </c>
      <c r="F36" s="685">
        <f t="shared" si="3"/>
        <v>73</v>
      </c>
      <c r="G36" s="685">
        <f t="shared" si="3"/>
        <v>1275</v>
      </c>
      <c r="H36" s="685">
        <f t="shared" si="3"/>
        <v>5630.9923670705812</v>
      </c>
      <c r="I36" s="685">
        <f t="shared" si="3"/>
        <v>22757.028121234678</v>
      </c>
      <c r="J36" s="685">
        <f t="shared" si="3"/>
        <v>54</v>
      </c>
      <c r="K36" s="685">
        <f t="shared" si="3"/>
        <v>781.91588550706444</v>
      </c>
      <c r="L36" s="685">
        <f>SUM(L33:L35)</f>
        <v>40830.240419423695</v>
      </c>
    </row>
    <row r="38" spans="2:12" x14ac:dyDescent="0.25">
      <c r="B38" s="103" t="s">
        <v>1486</v>
      </c>
      <c r="C38" s="104"/>
      <c r="D38" s="872" t="s">
        <v>273</v>
      </c>
      <c r="E38" s="873"/>
      <c r="F38" s="872" t="s">
        <v>1530</v>
      </c>
      <c r="G38" s="873"/>
      <c r="H38" s="872" t="s">
        <v>271</v>
      </c>
      <c r="I38" s="873"/>
      <c r="J38" s="872" t="s">
        <v>277</v>
      </c>
      <c r="K38" s="873"/>
      <c r="L38" s="104"/>
    </row>
    <row r="39" spans="2:12" ht="39.6" x14ac:dyDescent="0.25">
      <c r="B39" s="105"/>
      <c r="C39" s="706" t="s">
        <v>199</v>
      </c>
      <c r="D39" s="707" t="s">
        <v>278</v>
      </c>
      <c r="E39" s="707" t="s">
        <v>279</v>
      </c>
      <c r="F39" s="707" t="s">
        <v>278</v>
      </c>
      <c r="G39" s="707" t="s">
        <v>279</v>
      </c>
      <c r="H39" s="707" t="s">
        <v>278</v>
      </c>
      <c r="I39" s="707" t="s">
        <v>279</v>
      </c>
      <c r="J39" s="707" t="s">
        <v>278</v>
      </c>
      <c r="K39" s="707" t="s">
        <v>279</v>
      </c>
      <c r="L39" s="707" t="s">
        <v>280</v>
      </c>
    </row>
    <row r="40" spans="2:12" x14ac:dyDescent="0.25">
      <c r="B40" s="277">
        <v>1</v>
      </c>
      <c r="C40" s="102" t="s">
        <v>1536</v>
      </c>
      <c r="D40" s="685">
        <f>D12+D19+D26+D33</f>
        <v>6601.3839814209196</v>
      </c>
      <c r="E40" s="685">
        <f t="shared" ref="E40:L40" si="4">E12+E19+E26+E33</f>
        <v>25553.156467819696</v>
      </c>
      <c r="F40" s="685">
        <f t="shared" si="4"/>
        <v>205</v>
      </c>
      <c r="G40" s="685">
        <f t="shared" si="4"/>
        <v>3571.383644240972</v>
      </c>
      <c r="H40" s="685">
        <f t="shared" si="4"/>
        <v>16766.375870777963</v>
      </c>
      <c r="I40" s="685">
        <f t="shared" si="4"/>
        <v>65572.938021590788</v>
      </c>
      <c r="J40" s="685">
        <f t="shared" si="4"/>
        <v>147.71069884865574</v>
      </c>
      <c r="K40" s="685">
        <f t="shared" si="4"/>
        <v>2150.5210971293209</v>
      </c>
      <c r="L40" s="683">
        <f t="shared" si="4"/>
        <v>120568.46978182832</v>
      </c>
    </row>
    <row r="41" spans="2:12" x14ac:dyDescent="0.25">
      <c r="B41" s="277">
        <v>2</v>
      </c>
      <c r="C41" s="102" t="s">
        <v>1537</v>
      </c>
      <c r="D41" s="685">
        <f>D13+D20+D27+D34</f>
        <v>351</v>
      </c>
      <c r="E41" s="685">
        <f t="shared" ref="E41:L41" si="5">E13+E20+E27+E34</f>
        <v>2327.0362878012807</v>
      </c>
      <c r="F41" s="685">
        <f t="shared" si="5"/>
        <v>19</v>
      </c>
      <c r="G41" s="685">
        <f t="shared" si="5"/>
        <v>396</v>
      </c>
      <c r="H41" s="685">
        <f t="shared" si="5"/>
        <v>1249.0649013748668</v>
      </c>
      <c r="I41" s="685">
        <f t="shared" si="5"/>
        <v>4636.323248736694</v>
      </c>
      <c r="J41" s="685">
        <f t="shared" si="5"/>
        <v>8.3256022021661984</v>
      </c>
      <c r="K41" s="685">
        <f t="shared" si="5"/>
        <v>184.8758584117015</v>
      </c>
      <c r="L41" s="685">
        <f t="shared" si="5"/>
        <v>9171.6258985267086</v>
      </c>
    </row>
    <row r="42" spans="2:12" x14ac:dyDescent="0.25">
      <c r="B42" s="277">
        <v>3</v>
      </c>
      <c r="C42" s="102" t="s">
        <v>1538</v>
      </c>
      <c r="D42" s="685">
        <f t="shared" ref="D42:L42" si="6">D14+D21+D28+D35</f>
        <v>796</v>
      </c>
      <c r="E42" s="685">
        <f t="shared" si="6"/>
        <v>4947</v>
      </c>
      <c r="F42" s="685">
        <f t="shared" si="6"/>
        <v>27</v>
      </c>
      <c r="G42" s="685">
        <f t="shared" si="6"/>
        <v>1076.548055643726</v>
      </c>
      <c r="H42" s="685">
        <f t="shared" si="6"/>
        <v>1901.7664703437736</v>
      </c>
      <c r="I42" s="685">
        <f t="shared" si="6"/>
        <v>13779.77250090803</v>
      </c>
      <c r="J42" s="685">
        <f t="shared" si="6"/>
        <v>8</v>
      </c>
      <c r="K42" s="685">
        <f t="shared" si="6"/>
        <v>616.8642091320628</v>
      </c>
      <c r="L42" s="683">
        <f t="shared" si="6"/>
        <v>23152.951236027591</v>
      </c>
    </row>
    <row r="43" spans="2:12" x14ac:dyDescent="0.25">
      <c r="B43" s="278">
        <v>4</v>
      </c>
      <c r="C43" s="106" t="s">
        <v>200</v>
      </c>
      <c r="D43" s="685">
        <f t="shared" ref="D43:L43" si="7">D15+D22+D29+D36</f>
        <v>7748.3839814209196</v>
      </c>
      <c r="E43" s="685">
        <f t="shared" si="7"/>
        <v>32827.192755620978</v>
      </c>
      <c r="F43" s="685">
        <f t="shared" si="7"/>
        <v>251</v>
      </c>
      <c r="G43" s="685">
        <f t="shared" si="7"/>
        <v>5043.931699884698</v>
      </c>
      <c r="H43" s="685">
        <f t="shared" si="7"/>
        <v>19917.207242496603</v>
      </c>
      <c r="I43" s="685">
        <f t="shared" si="7"/>
        <v>83989.03377123551</v>
      </c>
      <c r="J43" s="685">
        <f t="shared" si="7"/>
        <v>164.03630105082195</v>
      </c>
      <c r="K43" s="685">
        <f t="shared" si="7"/>
        <v>2952.2611646730857</v>
      </c>
      <c r="L43" s="685">
        <f t="shared" si="7"/>
        <v>152893.04691638262</v>
      </c>
    </row>
  </sheetData>
  <sheetProtection formatColumns="0" formatRows="0"/>
  <mergeCells count="17">
    <mergeCell ref="D24:E24"/>
    <mergeCell ref="F24:G24"/>
    <mergeCell ref="H24:I24"/>
    <mergeCell ref="J24:K24"/>
    <mergeCell ref="F10:G10"/>
    <mergeCell ref="D17:E17"/>
    <mergeCell ref="F17:G17"/>
    <mergeCell ref="H17:I17"/>
    <mergeCell ref="J17:K17"/>
    <mergeCell ref="D38:E38"/>
    <mergeCell ref="F38:G38"/>
    <mergeCell ref="H38:I38"/>
    <mergeCell ref="J38:K38"/>
    <mergeCell ref="D31:E31"/>
    <mergeCell ref="F31:G31"/>
    <mergeCell ref="H31:I31"/>
    <mergeCell ref="J31:K31"/>
  </mergeCells>
  <dataValidations count="2">
    <dataValidation type="whole" allowBlank="1" showInputMessage="1" showErrorMessage="1" errorTitle="Invalid Data" error="Please only enter whole numbers." sqref="L26:L28 L19:L21 L33:L35 L42 L40 L12:L14" xr:uid="{00000000-0002-0000-0700-000000000000}">
      <formula1>-9223372036854770000</formula1>
      <formula2>9223372036854770000</formula2>
    </dataValidation>
    <dataValidation type="decimal" operator="greaterThan" allowBlank="1" showInputMessage="1" showErrorMessage="1" errorTitle="Invalid Data" error="Please only enter whole numbers." sqref="D12:K14 D26:K28 D19:K21 D33:K35" xr:uid="{00000000-0002-0000-0700-000001000000}">
      <formula1>-0.5</formula1>
    </dataValidation>
  </dataValidations>
  <pageMargins left="0.7" right="0.7" top="0.75" bottom="0.75" header="0.3" footer="0.3"/>
  <pageSetup scale="77"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109"/>
  <sheetViews>
    <sheetView zoomScale="90" zoomScaleNormal="90" workbookViewId="0">
      <selection activeCell="E12" sqref="E12"/>
    </sheetView>
  </sheetViews>
  <sheetFormatPr defaultColWidth="9.44140625" defaultRowHeight="13.2" x14ac:dyDescent="0.25"/>
  <cols>
    <col min="1" max="1" width="67" style="149" customWidth="1"/>
    <col min="2" max="2" width="9.5546875" style="149" customWidth="1"/>
    <col min="3" max="6" width="16.5546875" style="149" customWidth="1"/>
    <col min="7" max="7" width="12" style="149" bestFit="1" customWidth="1"/>
    <col min="8" max="8" width="14" style="149" bestFit="1" customWidth="1"/>
    <col min="9" max="19" width="11.5546875" style="149" bestFit="1" customWidth="1"/>
    <col min="20" max="20" width="10.44140625" style="149" bestFit="1" customWidth="1"/>
    <col min="21" max="24" width="11.5546875" style="149" bestFit="1" customWidth="1"/>
    <col min="25" max="16384" width="9.44140625" style="149"/>
  </cols>
  <sheetData>
    <row r="1" spans="1:17" s="199" customFormat="1" ht="21" customHeight="1" x14ac:dyDescent="0.25">
      <c r="A1" s="18" t="s">
        <v>1340</v>
      </c>
      <c r="B1" s="256"/>
      <c r="E1" s="875"/>
      <c r="F1" s="875"/>
      <c r="G1" s="874"/>
      <c r="H1" s="874"/>
    </row>
    <row r="2" spans="1:17" s="199" customFormat="1" ht="21" customHeight="1" x14ac:dyDescent="0.25">
      <c r="A2" s="18" t="s">
        <v>26</v>
      </c>
      <c r="B2" s="256"/>
      <c r="C2" s="882" t="s">
        <v>1550</v>
      </c>
      <c r="D2" s="883"/>
      <c r="E2" s="883"/>
      <c r="F2" s="884"/>
      <c r="G2" s="339"/>
      <c r="H2" s="339"/>
    </row>
    <row r="3" spans="1:17" s="199" customFormat="1" ht="21" customHeight="1" x14ac:dyDescent="0.25">
      <c r="A3" s="18" t="s">
        <v>0</v>
      </c>
      <c r="B3" s="256"/>
      <c r="C3" s="876" t="s">
        <v>1565</v>
      </c>
      <c r="D3" s="877"/>
      <c r="E3" s="877"/>
      <c r="F3" s="878"/>
      <c r="G3" s="339"/>
      <c r="H3" s="339"/>
    </row>
    <row r="4" spans="1:17" s="199" customFormat="1" ht="21" customHeight="1" x14ac:dyDescent="0.25">
      <c r="A4" s="18" t="s">
        <v>27</v>
      </c>
      <c r="B4" s="256"/>
      <c r="C4" s="879">
        <v>45657</v>
      </c>
      <c r="D4" s="880"/>
      <c r="E4" s="880"/>
      <c r="F4" s="881"/>
      <c r="G4" s="339"/>
      <c r="H4" s="339"/>
    </row>
    <row r="5" spans="1:17" s="199" customFormat="1" ht="21" customHeight="1" x14ac:dyDescent="0.25">
      <c r="A5" s="18" t="s">
        <v>28</v>
      </c>
      <c r="B5" s="256"/>
      <c r="C5" s="882" t="s">
        <v>1564</v>
      </c>
      <c r="D5" s="883"/>
      <c r="E5" s="883"/>
      <c r="F5" s="884"/>
      <c r="G5" s="339"/>
      <c r="H5" s="339"/>
    </row>
    <row r="6" spans="1:17" s="199" customFormat="1" ht="21" customHeight="1" x14ac:dyDescent="0.25">
      <c r="A6" s="18" t="s">
        <v>29</v>
      </c>
      <c r="B6" s="256"/>
      <c r="C6" s="879">
        <f>C4</f>
        <v>45657</v>
      </c>
      <c r="D6" s="880"/>
      <c r="E6" s="880"/>
      <c r="F6" s="881"/>
      <c r="G6" s="874"/>
      <c r="H6" s="874"/>
      <c r="J6" s="201"/>
      <c r="O6" s="201"/>
      <c r="Q6" s="201"/>
    </row>
    <row r="7" spans="1:17" s="199" customFormat="1" x14ac:dyDescent="0.25">
      <c r="A7" s="256" t="s">
        <v>544</v>
      </c>
      <c r="B7" s="256"/>
      <c r="C7" s="201"/>
      <c r="E7" s="339"/>
      <c r="F7" s="339"/>
      <c r="G7" s="339"/>
      <c r="H7" s="339"/>
      <c r="J7" s="201"/>
      <c r="O7" s="201"/>
      <c r="Q7" s="201"/>
    </row>
    <row r="8" spans="1:17" ht="19.5" customHeight="1" x14ac:dyDescent="0.25">
      <c r="A8" s="29"/>
      <c r="B8" s="29"/>
      <c r="C8" s="340" t="s">
        <v>126</v>
      </c>
      <c r="D8" s="340" t="s">
        <v>127</v>
      </c>
      <c r="E8" s="340" t="s">
        <v>128</v>
      </c>
      <c r="F8" s="340" t="s">
        <v>129</v>
      </c>
    </row>
    <row r="10" spans="1:17" ht="15.75" customHeight="1" x14ac:dyDescent="0.25">
      <c r="A10" s="341" t="s">
        <v>30</v>
      </c>
      <c r="B10" s="19"/>
    </row>
    <row r="11" spans="1:17" ht="15.75" customHeight="1" x14ac:dyDescent="0.25">
      <c r="A11" s="342" t="s">
        <v>342</v>
      </c>
      <c r="B11" s="343">
        <v>1</v>
      </c>
      <c r="C11" s="710">
        <v>90833825.569999993</v>
      </c>
      <c r="D11" s="710">
        <v>126055854.11000001</v>
      </c>
      <c r="E11" s="710">
        <v>113979520.31</v>
      </c>
      <c r="F11" s="710">
        <v>62505438.060000002</v>
      </c>
    </row>
    <row r="12" spans="1:17" ht="15.75" customHeight="1" x14ac:dyDescent="0.25">
      <c r="A12" s="342" t="s">
        <v>343</v>
      </c>
      <c r="B12" s="343">
        <v>2</v>
      </c>
      <c r="C12" s="710"/>
      <c r="D12" s="710"/>
      <c r="E12" s="710"/>
      <c r="F12" s="710"/>
    </row>
    <row r="13" spans="1:17" ht="15.75" customHeight="1" x14ac:dyDescent="0.25">
      <c r="A13" s="342" t="s">
        <v>498</v>
      </c>
      <c r="B13" s="343">
        <v>3</v>
      </c>
      <c r="C13" s="710">
        <v>17800733.210000001</v>
      </c>
      <c r="D13" s="710">
        <v>6633487.2100000009</v>
      </c>
      <c r="E13" s="710">
        <v>6756649.8700000001</v>
      </c>
      <c r="F13" s="710">
        <v>4694187.879999999</v>
      </c>
    </row>
    <row r="14" spans="1:17" ht="15.75" customHeight="1" x14ac:dyDescent="0.25">
      <c r="A14" s="342" t="s">
        <v>344</v>
      </c>
      <c r="B14" s="343">
        <v>4</v>
      </c>
      <c r="C14" s="710"/>
      <c r="D14" s="710"/>
      <c r="E14" s="710"/>
      <c r="F14" s="710"/>
    </row>
    <row r="15" spans="1:17" ht="15.75" customHeight="1" x14ac:dyDescent="0.25">
      <c r="A15" s="342" t="s">
        <v>345</v>
      </c>
      <c r="B15" s="343">
        <v>5</v>
      </c>
      <c r="C15" s="710"/>
      <c r="D15" s="710"/>
      <c r="E15" s="710"/>
      <c r="F15" s="710"/>
    </row>
    <row r="16" spans="1:17" ht="15.75" customHeight="1" x14ac:dyDescent="0.25">
      <c r="A16" s="342" t="s">
        <v>54</v>
      </c>
      <c r="B16" s="343">
        <v>6</v>
      </c>
      <c r="C16" s="710">
        <v>0</v>
      </c>
      <c r="D16" s="710"/>
      <c r="E16" s="710"/>
      <c r="F16" s="710">
        <v>0</v>
      </c>
    </row>
    <row r="17" spans="1:6" ht="15.75" customHeight="1" x14ac:dyDescent="0.25">
      <c r="A17" s="344" t="s">
        <v>1553</v>
      </c>
      <c r="B17" s="343">
        <v>7</v>
      </c>
      <c r="C17" s="710">
        <v>8205005.0199999996</v>
      </c>
      <c r="D17" s="710">
        <v>7248413.8499999996</v>
      </c>
      <c r="E17" s="710">
        <v>8380321.60201333</v>
      </c>
      <c r="F17" s="710">
        <v>1881078.8200000012</v>
      </c>
    </row>
    <row r="18" spans="1:6" ht="15.75" customHeight="1" x14ac:dyDescent="0.25">
      <c r="A18" s="344" t="s">
        <v>1566</v>
      </c>
      <c r="B18" s="343">
        <v>8</v>
      </c>
      <c r="C18" s="710">
        <v>0</v>
      </c>
      <c r="D18" s="710">
        <v>0</v>
      </c>
      <c r="E18" s="710">
        <v>4000000</v>
      </c>
      <c r="F18" s="710">
        <v>4000000</v>
      </c>
    </row>
    <row r="19" spans="1:6" ht="15.75" customHeight="1" x14ac:dyDescent="0.25">
      <c r="A19" s="344" t="s">
        <v>1554</v>
      </c>
      <c r="B19" s="343">
        <v>9</v>
      </c>
      <c r="C19" s="710">
        <v>18220163</v>
      </c>
      <c r="D19" s="710">
        <v>7404720</v>
      </c>
      <c r="E19" s="710">
        <v>7404720</v>
      </c>
      <c r="F19" s="710">
        <v>9801594</v>
      </c>
    </row>
    <row r="20" spans="1:6" ht="15.75" customHeight="1" x14ac:dyDescent="0.25">
      <c r="A20" s="344" t="s">
        <v>1555</v>
      </c>
      <c r="B20" s="343">
        <v>10</v>
      </c>
      <c r="C20" s="710">
        <v>1277659.23</v>
      </c>
      <c r="D20" s="710">
        <v>654028.07999999996</v>
      </c>
      <c r="E20" s="710">
        <v>1238704.4400000002</v>
      </c>
      <c r="F20" s="710">
        <v>121983.38000000003</v>
      </c>
    </row>
    <row r="21" spans="1:6" ht="15.75" customHeight="1" x14ac:dyDescent="0.25">
      <c r="A21" s="205"/>
      <c r="C21" s="346" t="s">
        <v>32</v>
      </c>
      <c r="D21" s="346" t="s">
        <v>32</v>
      </c>
      <c r="E21" s="346" t="s">
        <v>32</v>
      </c>
      <c r="F21" s="346" t="s">
        <v>32</v>
      </c>
    </row>
    <row r="22" spans="1:6" ht="15.75" customHeight="1" x14ac:dyDescent="0.25">
      <c r="A22" s="341" t="s">
        <v>5</v>
      </c>
      <c r="B22" s="343">
        <v>11</v>
      </c>
      <c r="C22" s="711">
        <f>SUM(C11:C20)</f>
        <v>136337386.03</v>
      </c>
      <c r="D22" s="711">
        <f>SUM(D11:D20)</f>
        <v>147996503.25000003</v>
      </c>
      <c r="E22" s="711">
        <f>SUM(E11:E20)</f>
        <v>141759916.22201335</v>
      </c>
      <c r="F22" s="711">
        <f>SUM(F11:F20)</f>
        <v>83004282.140000001</v>
      </c>
    </row>
    <row r="23" spans="1:6" ht="15.75" customHeight="1" x14ac:dyDescent="0.25">
      <c r="A23" s="345"/>
      <c r="B23" s="148"/>
      <c r="C23" s="204"/>
      <c r="D23" s="204"/>
      <c r="E23" s="204"/>
      <c r="F23" s="204"/>
    </row>
    <row r="24" spans="1:6" ht="15.75" customHeight="1" x14ac:dyDescent="0.25">
      <c r="A24" s="347" t="s">
        <v>155</v>
      </c>
      <c r="B24" s="17"/>
      <c r="C24" s="204"/>
      <c r="D24" s="204"/>
      <c r="E24" s="204"/>
      <c r="F24" s="204"/>
    </row>
    <row r="25" spans="1:6" ht="15.75" customHeight="1" x14ac:dyDescent="0.25">
      <c r="A25" s="342" t="s">
        <v>346</v>
      </c>
      <c r="B25" s="343">
        <v>12</v>
      </c>
      <c r="C25" s="710"/>
      <c r="D25" s="710"/>
      <c r="E25" s="710"/>
      <c r="F25" s="710"/>
    </row>
    <row r="26" spans="1:6" ht="15.75" customHeight="1" x14ac:dyDescent="0.25">
      <c r="A26" s="342" t="s">
        <v>347</v>
      </c>
      <c r="B26" s="343">
        <v>13</v>
      </c>
      <c r="C26" s="710"/>
      <c r="D26" s="710"/>
      <c r="E26" s="710"/>
      <c r="F26" s="710"/>
    </row>
    <row r="27" spans="1:6" ht="15.75" customHeight="1" x14ac:dyDescent="0.25">
      <c r="A27" s="342" t="s">
        <v>348</v>
      </c>
      <c r="B27" s="343">
        <v>14</v>
      </c>
      <c r="C27" s="710"/>
      <c r="D27" s="710"/>
      <c r="E27" s="710"/>
      <c r="F27" s="710"/>
    </row>
    <row r="28" spans="1:6" ht="15.75" customHeight="1" x14ac:dyDescent="0.25">
      <c r="A28" s="342" t="s">
        <v>349</v>
      </c>
      <c r="B28" s="343">
        <v>15</v>
      </c>
      <c r="C28" s="710"/>
      <c r="D28" s="710"/>
      <c r="E28" s="710"/>
      <c r="F28" s="710"/>
    </row>
    <row r="29" spans="1:6" ht="15.75" customHeight="1" x14ac:dyDescent="0.25">
      <c r="A29" s="342" t="s">
        <v>350</v>
      </c>
      <c r="B29" s="343">
        <v>16</v>
      </c>
      <c r="C29" s="710"/>
      <c r="D29" s="710"/>
      <c r="E29" s="710"/>
      <c r="F29" s="710"/>
    </row>
    <row r="30" spans="1:6" ht="15.75" customHeight="1" x14ac:dyDescent="0.25">
      <c r="A30" s="342" t="s">
        <v>351</v>
      </c>
      <c r="B30" s="343">
        <v>17</v>
      </c>
      <c r="C30" s="710"/>
      <c r="D30" s="710"/>
      <c r="E30" s="710"/>
      <c r="F30" s="710"/>
    </row>
    <row r="31" spans="1:6" ht="15.75" customHeight="1" x14ac:dyDescent="0.25">
      <c r="A31" s="344" t="s">
        <v>150</v>
      </c>
      <c r="B31" s="343">
        <v>18</v>
      </c>
      <c r="C31" s="710"/>
      <c r="D31" s="710"/>
      <c r="E31" s="710"/>
      <c r="F31" s="710"/>
    </row>
    <row r="32" spans="1:6" ht="15.75" customHeight="1" x14ac:dyDescent="0.25">
      <c r="A32" s="344" t="s">
        <v>31</v>
      </c>
      <c r="B32" s="343">
        <v>19</v>
      </c>
      <c r="C32" s="710"/>
      <c r="D32" s="710"/>
      <c r="E32" s="710"/>
      <c r="F32" s="710"/>
    </row>
    <row r="33" spans="1:6" ht="15.75" customHeight="1" x14ac:dyDescent="0.25">
      <c r="A33" s="342" t="s">
        <v>31</v>
      </c>
      <c r="B33" s="343">
        <v>20</v>
      </c>
      <c r="C33" s="710"/>
      <c r="D33" s="710"/>
      <c r="E33" s="710"/>
      <c r="F33" s="710"/>
    </row>
    <row r="34" spans="1:6" ht="15.75" customHeight="1" x14ac:dyDescent="0.25">
      <c r="A34" s="345"/>
      <c r="B34" s="148"/>
      <c r="C34" s="346" t="s">
        <v>32</v>
      </c>
      <c r="D34" s="346" t="s">
        <v>32</v>
      </c>
      <c r="E34" s="346" t="s">
        <v>32</v>
      </c>
      <c r="F34" s="346" t="s">
        <v>32</v>
      </c>
    </row>
    <row r="35" spans="1:6" ht="15.75" customHeight="1" x14ac:dyDescent="0.25">
      <c r="A35" s="341" t="s">
        <v>33</v>
      </c>
      <c r="B35" s="343">
        <v>21</v>
      </c>
      <c r="C35" s="711">
        <f>SUM(C25:C33)</f>
        <v>0</v>
      </c>
      <c r="D35" s="711">
        <f>SUM(D25:D33)</f>
        <v>0</v>
      </c>
      <c r="E35" s="711">
        <f>SUM(E25:E33)</f>
        <v>0</v>
      </c>
      <c r="F35" s="711">
        <f>SUM(F25:F33)</f>
        <v>0</v>
      </c>
    </row>
    <row r="36" spans="1:6" ht="15.75" customHeight="1" x14ac:dyDescent="0.25">
      <c r="A36" s="341" t="s">
        <v>6</v>
      </c>
      <c r="B36" s="19"/>
      <c r="C36" s="204"/>
      <c r="D36" s="204"/>
      <c r="E36" s="204"/>
      <c r="F36" s="204"/>
    </row>
    <row r="37" spans="1:6" ht="15.75" customHeight="1" x14ac:dyDescent="0.25">
      <c r="A37" s="342" t="s">
        <v>353</v>
      </c>
      <c r="B37" s="343">
        <v>22</v>
      </c>
      <c r="C37" s="710"/>
      <c r="D37" s="710"/>
      <c r="E37" s="710"/>
      <c r="F37" s="710"/>
    </row>
    <row r="38" spans="1:6" ht="15.75" customHeight="1" x14ac:dyDescent="0.25">
      <c r="A38" s="342" t="s">
        <v>354</v>
      </c>
      <c r="B38" s="343">
        <v>23</v>
      </c>
      <c r="C38" s="710"/>
      <c r="D38" s="710"/>
      <c r="E38" s="710"/>
      <c r="F38" s="710"/>
    </row>
    <row r="39" spans="1:6" ht="15.75" customHeight="1" x14ac:dyDescent="0.25">
      <c r="A39" s="342" t="s">
        <v>355</v>
      </c>
      <c r="B39" s="343">
        <v>24</v>
      </c>
      <c r="C39" s="710"/>
      <c r="D39" s="710"/>
      <c r="E39" s="710"/>
      <c r="F39" s="710"/>
    </row>
    <row r="40" spans="1:6" ht="15.75" customHeight="1" x14ac:dyDescent="0.25">
      <c r="A40" s="342" t="s">
        <v>356</v>
      </c>
      <c r="B40" s="343">
        <v>25</v>
      </c>
      <c r="C40" s="710"/>
      <c r="D40" s="710"/>
      <c r="E40" s="710"/>
      <c r="F40" s="710"/>
    </row>
    <row r="41" spans="1:6" ht="15.75" customHeight="1" x14ac:dyDescent="0.25">
      <c r="A41" s="342" t="s">
        <v>357</v>
      </c>
      <c r="B41" s="343">
        <v>26</v>
      </c>
      <c r="C41" s="710"/>
      <c r="D41" s="710"/>
      <c r="E41" s="710"/>
      <c r="F41" s="710"/>
    </row>
    <row r="42" spans="1:6" ht="15.75" customHeight="1" x14ac:dyDescent="0.25">
      <c r="A42" s="344" t="s">
        <v>358</v>
      </c>
      <c r="B42" s="343">
        <v>27</v>
      </c>
      <c r="C42" s="710"/>
      <c r="D42" s="710"/>
      <c r="E42" s="710"/>
      <c r="F42" s="710"/>
    </row>
    <row r="43" spans="1:6" ht="15.75" customHeight="1" x14ac:dyDescent="0.25">
      <c r="A43" s="344" t="s">
        <v>31</v>
      </c>
      <c r="B43" s="343">
        <v>28</v>
      </c>
      <c r="C43" s="710"/>
      <c r="D43" s="710"/>
      <c r="E43" s="710"/>
      <c r="F43" s="710"/>
    </row>
    <row r="44" spans="1:6" ht="15.75" customHeight="1" x14ac:dyDescent="0.25">
      <c r="A44" s="344" t="s">
        <v>31</v>
      </c>
      <c r="B44" s="343">
        <v>29</v>
      </c>
      <c r="C44" s="710"/>
      <c r="D44" s="710"/>
      <c r="E44" s="710"/>
      <c r="F44" s="710"/>
    </row>
    <row r="45" spans="1:6" ht="15.75" customHeight="1" x14ac:dyDescent="0.25">
      <c r="A45" s="341"/>
      <c r="B45" s="19"/>
      <c r="C45" s="346" t="s">
        <v>32</v>
      </c>
      <c r="D45" s="346" t="s">
        <v>32</v>
      </c>
      <c r="E45" s="346" t="s">
        <v>32</v>
      </c>
      <c r="F45" s="346" t="s">
        <v>32</v>
      </c>
    </row>
    <row r="46" spans="1:6" ht="15.75" customHeight="1" x14ac:dyDescent="0.25">
      <c r="A46" s="341" t="s">
        <v>34</v>
      </c>
      <c r="B46" s="343">
        <v>30</v>
      </c>
      <c r="C46" s="711">
        <f>SUM(C37:C44)</f>
        <v>0</v>
      </c>
      <c r="D46" s="711">
        <f>SUM(D37:D44)</f>
        <v>0</v>
      </c>
      <c r="E46" s="711">
        <f>SUM(E37:E44)</f>
        <v>0</v>
      </c>
      <c r="F46" s="711">
        <f>SUM(F37:F44)</f>
        <v>0</v>
      </c>
    </row>
    <row r="47" spans="1:6" ht="15.75" customHeight="1" x14ac:dyDescent="0.25">
      <c r="A47" s="205"/>
      <c r="C47" s="348" t="s">
        <v>32</v>
      </c>
      <c r="D47" s="348" t="s">
        <v>32</v>
      </c>
      <c r="E47" s="348" t="s">
        <v>32</v>
      </c>
      <c r="F47" s="349" t="s">
        <v>32</v>
      </c>
    </row>
    <row r="48" spans="1:6" ht="15.75" customHeight="1" x14ac:dyDescent="0.25">
      <c r="A48" s="341" t="s">
        <v>7</v>
      </c>
      <c r="B48" s="343">
        <v>31</v>
      </c>
      <c r="C48" s="711">
        <f>C22+C35+C46</f>
        <v>136337386.03</v>
      </c>
      <c r="D48" s="711">
        <f>D22+D35+D46</f>
        <v>147996503.25000003</v>
      </c>
      <c r="E48" s="711">
        <f>E22+E35+E46</f>
        <v>141759916.22201335</v>
      </c>
      <c r="F48" s="711">
        <f>F22+F35+F46</f>
        <v>83004282.140000001</v>
      </c>
    </row>
    <row r="49" spans="1:24" ht="15.75" customHeight="1" x14ac:dyDescent="0.25">
      <c r="A49" s="205"/>
      <c r="C49" s="349" t="s">
        <v>35</v>
      </c>
      <c r="D49" s="349" t="s">
        <v>35</v>
      </c>
      <c r="E49" s="349" t="s">
        <v>35</v>
      </c>
      <c r="F49" s="349" t="s">
        <v>35</v>
      </c>
    </row>
    <row r="50" spans="1:24" ht="15.75" customHeight="1" x14ac:dyDescent="0.25">
      <c r="A50" s="341" t="s">
        <v>36</v>
      </c>
      <c r="B50" s="19"/>
    </row>
    <row r="51" spans="1:24" ht="15.75" customHeight="1" x14ac:dyDescent="0.25">
      <c r="A51" s="205"/>
    </row>
    <row r="52" spans="1:24" ht="15.75" customHeight="1" x14ac:dyDescent="0.25">
      <c r="A52" s="341" t="s">
        <v>8</v>
      </c>
      <c r="B52" s="19"/>
    </row>
    <row r="53" spans="1:24" ht="15.75" customHeight="1" x14ac:dyDescent="0.25">
      <c r="A53" s="342" t="s">
        <v>55</v>
      </c>
      <c r="B53" s="343">
        <v>32</v>
      </c>
      <c r="C53" s="710"/>
      <c r="D53" s="710"/>
      <c r="E53" s="710"/>
      <c r="F53" s="710"/>
    </row>
    <row r="54" spans="1:24" ht="15.75" customHeight="1" x14ac:dyDescent="0.25">
      <c r="A54" s="342" t="s">
        <v>359</v>
      </c>
      <c r="B54" s="343">
        <v>33</v>
      </c>
      <c r="C54" s="710">
        <v>55422234.289999999</v>
      </c>
      <c r="D54" s="710">
        <v>63662391.07</v>
      </c>
      <c r="E54" s="710">
        <v>62654805.969999999</v>
      </c>
      <c r="F54" s="710">
        <v>1152421</v>
      </c>
    </row>
    <row r="55" spans="1:24" ht="15.75" customHeight="1" x14ac:dyDescent="0.25">
      <c r="A55" s="342" t="s">
        <v>360</v>
      </c>
      <c r="B55" s="343">
        <v>34</v>
      </c>
      <c r="C55" s="710"/>
      <c r="D55" s="710"/>
      <c r="E55" s="710"/>
      <c r="F55" s="710"/>
      <c r="H55" s="112"/>
      <c r="I55" s="112"/>
    </row>
    <row r="56" spans="1:24" ht="15.75" customHeight="1" x14ac:dyDescent="0.25">
      <c r="A56" s="342" t="s">
        <v>361</v>
      </c>
      <c r="B56" s="343">
        <v>35</v>
      </c>
      <c r="C56" s="710"/>
      <c r="D56" s="710"/>
      <c r="E56" s="710"/>
      <c r="F56" s="710"/>
      <c r="G56" s="350"/>
      <c r="H56" s="350"/>
      <c r="I56" s="350"/>
      <c r="J56" s="350"/>
      <c r="K56" s="350"/>
      <c r="L56" s="350"/>
      <c r="M56" s="350"/>
      <c r="N56" s="350"/>
      <c r="O56" s="350"/>
      <c r="P56" s="350"/>
      <c r="Q56" s="350"/>
      <c r="R56" s="350"/>
      <c r="S56" s="350"/>
      <c r="T56" s="350"/>
      <c r="U56" s="350"/>
      <c r="V56" s="350"/>
      <c r="W56" s="350"/>
      <c r="X56" s="350">
        <f>L56+L57</f>
        <v>0</v>
      </c>
    </row>
    <row r="57" spans="1:24" ht="15.75" customHeight="1" x14ac:dyDescent="0.25">
      <c r="A57" s="342" t="s">
        <v>362</v>
      </c>
      <c r="B57" s="343">
        <v>36</v>
      </c>
      <c r="C57" s="710"/>
      <c r="D57" s="710"/>
      <c r="E57" s="710"/>
      <c r="F57" s="710"/>
    </row>
    <row r="58" spans="1:24" ht="15.75" customHeight="1" x14ac:dyDescent="0.25">
      <c r="A58" s="342" t="s">
        <v>363</v>
      </c>
      <c r="B58" s="343">
        <v>37</v>
      </c>
      <c r="C58" s="710">
        <v>2001366.9100000001</v>
      </c>
      <c r="D58" s="710">
        <v>6493788.0499999998</v>
      </c>
      <c r="E58" s="710">
        <v>1038307.58</v>
      </c>
      <c r="F58" s="710">
        <v>6347</v>
      </c>
    </row>
    <row r="59" spans="1:24" ht="15.75" customHeight="1" x14ac:dyDescent="0.25">
      <c r="A59" s="342" t="s">
        <v>364</v>
      </c>
      <c r="B59" s="343">
        <v>38</v>
      </c>
      <c r="C59" s="710">
        <v>290320.07000000007</v>
      </c>
      <c r="D59" s="710">
        <v>-304397.26999999996</v>
      </c>
      <c r="E59" s="710">
        <v>1103234.7</v>
      </c>
      <c r="F59" s="710">
        <v>-414633</v>
      </c>
    </row>
    <row r="60" spans="1:24" ht="15.75" customHeight="1" x14ac:dyDescent="0.25">
      <c r="A60" s="342" t="s">
        <v>156</v>
      </c>
      <c r="B60" s="343">
        <v>39</v>
      </c>
      <c r="C60" s="710">
        <v>875875.21</v>
      </c>
      <c r="D60" s="710">
        <v>875875.21</v>
      </c>
      <c r="E60" s="710">
        <v>1164542</v>
      </c>
      <c r="F60" s="710">
        <v>2081295.81</v>
      </c>
      <c r="H60" s="351"/>
    </row>
    <row r="61" spans="1:24" ht="15.75" customHeight="1" x14ac:dyDescent="0.25">
      <c r="A61" s="342" t="s">
        <v>365</v>
      </c>
      <c r="B61" s="343">
        <v>40</v>
      </c>
      <c r="C61" s="710"/>
      <c r="D61" s="710"/>
      <c r="E61" s="710"/>
      <c r="F61" s="710"/>
      <c r="G61" s="112"/>
    </row>
    <row r="62" spans="1:24" ht="15.75" customHeight="1" x14ac:dyDescent="0.25">
      <c r="A62" s="344" t="s">
        <v>151</v>
      </c>
      <c r="B62" s="343">
        <v>41</v>
      </c>
      <c r="C62" s="710">
        <v>1328565.27</v>
      </c>
      <c r="D62" s="710">
        <v>871247.46</v>
      </c>
      <c r="E62" s="710">
        <v>197065.65</v>
      </c>
      <c r="F62" s="710">
        <v>1883411.4689237303</v>
      </c>
      <c r="G62" s="350"/>
      <c r="H62" s="350"/>
      <c r="I62" s="350"/>
      <c r="J62" s="350"/>
      <c r="K62" s="350"/>
      <c r="L62" s="350"/>
      <c r="M62" s="350"/>
      <c r="N62" s="350"/>
      <c r="O62" s="350"/>
      <c r="P62" s="350"/>
      <c r="Q62" s="350"/>
      <c r="R62" s="350"/>
    </row>
    <row r="63" spans="1:24" ht="15.75" customHeight="1" x14ac:dyDescent="0.25">
      <c r="A63" s="344" t="s">
        <v>31</v>
      </c>
      <c r="B63" s="343">
        <v>42</v>
      </c>
      <c r="C63" s="710">
        <v>1530000</v>
      </c>
      <c r="D63" s="710">
        <v>1530000</v>
      </c>
      <c r="E63" s="710">
        <v>0</v>
      </c>
      <c r="F63" s="710">
        <v>0</v>
      </c>
      <c r="G63" s="350"/>
      <c r="H63" s="350"/>
      <c r="I63" s="350"/>
      <c r="J63" s="350"/>
      <c r="K63" s="350"/>
      <c r="L63" s="350"/>
      <c r="M63" s="350"/>
      <c r="N63" s="350"/>
      <c r="O63" s="350"/>
      <c r="P63" s="350"/>
      <c r="Q63" s="350"/>
      <c r="R63" s="350"/>
    </row>
    <row r="64" spans="1:24" ht="15.75" customHeight="1" x14ac:dyDescent="0.25">
      <c r="A64" s="344" t="s">
        <v>31</v>
      </c>
      <c r="B64" s="343">
        <v>43</v>
      </c>
      <c r="C64" s="710"/>
      <c r="D64" s="710"/>
      <c r="E64" s="710"/>
      <c r="F64" s="710"/>
      <c r="G64" s="350"/>
      <c r="H64" s="350"/>
      <c r="I64" s="350"/>
      <c r="J64" s="350"/>
      <c r="K64" s="350"/>
      <c r="L64" s="350"/>
      <c r="M64" s="350"/>
      <c r="N64" s="350"/>
      <c r="O64" s="350"/>
      <c r="P64" s="350"/>
      <c r="Q64" s="350"/>
      <c r="R64" s="350"/>
    </row>
    <row r="65" spans="1:8" ht="15.75" customHeight="1" x14ac:dyDescent="0.25">
      <c r="A65" s="342" t="s">
        <v>31</v>
      </c>
      <c r="B65" s="343">
        <v>44</v>
      </c>
      <c r="C65" s="710"/>
      <c r="D65" s="710"/>
      <c r="E65" s="710"/>
      <c r="F65" s="710"/>
    </row>
    <row r="66" spans="1:8" ht="15.75" customHeight="1" x14ac:dyDescent="0.25">
      <c r="A66" s="205"/>
      <c r="C66" s="348" t="s">
        <v>32</v>
      </c>
      <c r="D66" s="348" t="s">
        <v>32</v>
      </c>
      <c r="E66" s="348" t="s">
        <v>32</v>
      </c>
      <c r="F66" s="349" t="s">
        <v>32</v>
      </c>
    </row>
    <row r="67" spans="1:8" ht="15.75" customHeight="1" x14ac:dyDescent="0.25">
      <c r="A67" s="341" t="s">
        <v>37</v>
      </c>
      <c r="B67" s="343">
        <v>45</v>
      </c>
      <c r="C67" s="711">
        <f>SUM(C53:C65)</f>
        <v>61448361.750000007</v>
      </c>
      <c r="D67" s="711">
        <f>SUM(D53:D65)</f>
        <v>73128904.519999996</v>
      </c>
      <c r="E67" s="711">
        <f>SUM(E53:E65)</f>
        <v>66157955.899999999</v>
      </c>
      <c r="F67" s="711">
        <f>SUM(F53:F65)</f>
        <v>4708842.2789237304</v>
      </c>
      <c r="H67" s="198"/>
    </row>
    <row r="68" spans="1:8" ht="15.75" customHeight="1" x14ac:dyDescent="0.25">
      <c r="A68" s="341" t="s">
        <v>9</v>
      </c>
      <c r="B68" s="19"/>
    </row>
    <row r="69" spans="1:8" ht="15.75" customHeight="1" x14ac:dyDescent="0.25">
      <c r="A69" s="342" t="s">
        <v>367</v>
      </c>
      <c r="B69" s="343">
        <v>46</v>
      </c>
      <c r="C69" s="710"/>
      <c r="D69" s="710"/>
      <c r="E69" s="710"/>
      <c r="F69" s="710"/>
    </row>
    <row r="70" spans="1:8" ht="15.75" customHeight="1" x14ac:dyDescent="0.25">
      <c r="A70" s="342" t="s">
        <v>368</v>
      </c>
      <c r="B70" s="343">
        <v>47</v>
      </c>
      <c r="C70" s="710">
        <v>133217.21000000834</v>
      </c>
      <c r="D70" s="710">
        <v>137966.21999999881</v>
      </c>
      <c r="E70" s="710">
        <v>169947.39999997616</v>
      </c>
      <c r="F70" s="710">
        <v>156881.01999998093</v>
      </c>
    </row>
    <row r="71" spans="1:8" ht="15.75" customHeight="1" x14ac:dyDescent="0.25">
      <c r="A71" s="344" t="s">
        <v>152</v>
      </c>
      <c r="B71" s="343">
        <v>48</v>
      </c>
      <c r="C71" s="710"/>
      <c r="D71" s="710"/>
      <c r="E71" s="710"/>
      <c r="F71" s="710"/>
    </row>
    <row r="72" spans="1:8" ht="15.75" customHeight="1" x14ac:dyDescent="0.25">
      <c r="A72" s="344" t="s">
        <v>31</v>
      </c>
      <c r="B72" s="343">
        <v>49</v>
      </c>
      <c r="C72" s="710"/>
      <c r="D72" s="710"/>
      <c r="E72" s="710"/>
      <c r="F72" s="710"/>
    </row>
    <row r="73" spans="1:8" ht="15.75" customHeight="1" x14ac:dyDescent="0.25">
      <c r="A73" s="344" t="s">
        <v>31</v>
      </c>
      <c r="B73" s="343">
        <v>50</v>
      </c>
      <c r="C73" s="710"/>
      <c r="D73" s="710"/>
      <c r="E73" s="710"/>
      <c r="F73" s="710"/>
    </row>
    <row r="74" spans="1:8" ht="15.75" customHeight="1" x14ac:dyDescent="0.25">
      <c r="A74" s="342" t="s">
        <v>31</v>
      </c>
      <c r="B74" s="343">
        <v>51</v>
      </c>
      <c r="C74" s="710"/>
      <c r="D74" s="710"/>
      <c r="E74" s="710"/>
      <c r="F74" s="710"/>
    </row>
    <row r="75" spans="1:8" ht="15.75" customHeight="1" x14ac:dyDescent="0.25">
      <c r="A75" s="345"/>
      <c r="B75" s="148"/>
      <c r="C75" s="348" t="s">
        <v>32</v>
      </c>
      <c r="D75" s="348" t="s">
        <v>32</v>
      </c>
      <c r="E75" s="348" t="s">
        <v>32</v>
      </c>
      <c r="F75" s="348" t="s">
        <v>32</v>
      </c>
    </row>
    <row r="76" spans="1:8" ht="15.75" customHeight="1" x14ac:dyDescent="0.25">
      <c r="A76" s="341" t="s">
        <v>38</v>
      </c>
      <c r="B76" s="343">
        <v>52</v>
      </c>
      <c r="C76" s="711">
        <f>SUM(C69:C74)</f>
        <v>133217.21000000834</v>
      </c>
      <c r="D76" s="711">
        <f>SUM(D69:D74)</f>
        <v>137966.21999999881</v>
      </c>
      <c r="E76" s="711">
        <f>SUM(E69:E74)</f>
        <v>169947.39999997616</v>
      </c>
      <c r="F76" s="711">
        <f>SUM(F69:F74)</f>
        <v>156881.01999998093</v>
      </c>
      <c r="G76" s="112"/>
      <c r="H76" s="112"/>
    </row>
    <row r="77" spans="1:8" ht="15.75" customHeight="1" x14ac:dyDescent="0.25">
      <c r="A77" s="205"/>
      <c r="C77" s="348" t="s">
        <v>32</v>
      </c>
      <c r="D77" s="348" t="s">
        <v>32</v>
      </c>
      <c r="E77" s="348" t="s">
        <v>32</v>
      </c>
      <c r="F77" s="348" t="s">
        <v>32</v>
      </c>
    </row>
    <row r="78" spans="1:8" ht="15.75" customHeight="1" x14ac:dyDescent="0.25">
      <c r="A78" s="341" t="s">
        <v>10</v>
      </c>
      <c r="B78" s="343">
        <v>53</v>
      </c>
      <c r="C78" s="711">
        <f>C67+C76</f>
        <v>61581578.960000016</v>
      </c>
      <c r="D78" s="711">
        <f>D67+D76</f>
        <v>73266870.739999995</v>
      </c>
      <c r="E78" s="711">
        <f>E67+E76</f>
        <v>66327903.299999975</v>
      </c>
      <c r="F78" s="711">
        <f>F67+F76</f>
        <v>4865723.2989237113</v>
      </c>
    </row>
    <row r="79" spans="1:8" ht="15.75" customHeight="1" x14ac:dyDescent="0.25">
      <c r="A79" s="205"/>
      <c r="C79" s="348" t="s">
        <v>35</v>
      </c>
      <c r="D79" s="348" t="s">
        <v>35</v>
      </c>
      <c r="E79" s="348" t="s">
        <v>35</v>
      </c>
      <c r="F79" s="348" t="s">
        <v>35</v>
      </c>
    </row>
    <row r="80" spans="1:8" ht="15.75" customHeight="1" x14ac:dyDescent="0.25">
      <c r="A80" s="341" t="s">
        <v>2</v>
      </c>
      <c r="B80" s="19"/>
      <c r="C80" s="351"/>
      <c r="D80" s="351"/>
      <c r="E80" s="351"/>
    </row>
    <row r="81" spans="1:8" ht="15.75" customHeight="1" x14ac:dyDescent="0.25">
      <c r="A81" s="342" t="s">
        <v>369</v>
      </c>
      <c r="B81" s="343">
        <v>54</v>
      </c>
      <c r="C81" s="710"/>
      <c r="D81" s="710"/>
      <c r="E81" s="710">
        <f>E18</f>
        <v>4000000</v>
      </c>
      <c r="F81" s="710">
        <f>F18</f>
        <v>4000000</v>
      </c>
    </row>
    <row r="82" spans="1:8" ht="15.75" customHeight="1" x14ac:dyDescent="0.25">
      <c r="A82" s="342" t="s">
        <v>370</v>
      </c>
      <c r="B82" s="343">
        <v>55</v>
      </c>
      <c r="C82" s="710">
        <f>+C22-C78</f>
        <v>74755807.069999993</v>
      </c>
      <c r="D82" s="710">
        <f>+D22-D78</f>
        <v>74729632.510000035</v>
      </c>
      <c r="E82" s="710">
        <f>+E22-E78</f>
        <v>75432012.922013372</v>
      </c>
      <c r="F82" s="710">
        <f>+F22-F78</f>
        <v>78138558.841076285</v>
      </c>
    </row>
    <row r="83" spans="1:8" ht="15.75" customHeight="1" x14ac:dyDescent="0.25">
      <c r="A83" s="342" t="s">
        <v>371</v>
      </c>
      <c r="B83" s="343">
        <v>56</v>
      </c>
      <c r="C83" s="710"/>
      <c r="D83" s="710"/>
      <c r="E83" s="710"/>
      <c r="F83" s="710"/>
      <c r="H83" s="112"/>
    </row>
    <row r="84" spans="1:8" ht="15.75" customHeight="1" x14ac:dyDescent="0.25">
      <c r="A84" s="342" t="s">
        <v>372</v>
      </c>
      <c r="B84" s="343">
        <v>57</v>
      </c>
      <c r="C84" s="710"/>
      <c r="D84" s="710"/>
      <c r="E84" s="710"/>
      <c r="F84" s="710"/>
    </row>
    <row r="85" spans="1:8" ht="15.75" customHeight="1" x14ac:dyDescent="0.25">
      <c r="A85" s="344" t="s">
        <v>499</v>
      </c>
      <c r="B85" s="343">
        <v>58</v>
      </c>
      <c r="C85" s="710"/>
      <c r="D85" s="710"/>
      <c r="E85" s="710"/>
      <c r="F85" s="710"/>
    </row>
    <row r="86" spans="1:8" ht="15.75" customHeight="1" x14ac:dyDescent="0.25">
      <c r="A86" s="344" t="s">
        <v>31</v>
      </c>
      <c r="B86" s="343">
        <v>59</v>
      </c>
      <c r="C86" s="710"/>
      <c r="D86" s="710"/>
      <c r="E86" s="710"/>
      <c r="F86" s="710"/>
    </row>
    <row r="87" spans="1:8" ht="15.75" customHeight="1" x14ac:dyDescent="0.25">
      <c r="A87" s="344" t="s">
        <v>31</v>
      </c>
      <c r="B87" s="343">
        <v>60</v>
      </c>
      <c r="C87" s="710"/>
      <c r="D87" s="710"/>
      <c r="E87" s="710"/>
      <c r="F87" s="710"/>
    </row>
    <row r="88" spans="1:8" ht="15.75" customHeight="1" x14ac:dyDescent="0.25">
      <c r="A88" s="344" t="s">
        <v>31</v>
      </c>
      <c r="B88" s="343">
        <v>61</v>
      </c>
      <c r="C88" s="710"/>
      <c r="D88" s="710"/>
      <c r="E88" s="710"/>
      <c r="F88" s="710"/>
    </row>
    <row r="89" spans="1:8" ht="15.75" customHeight="1" x14ac:dyDescent="0.25">
      <c r="A89" s="342" t="s">
        <v>373</v>
      </c>
      <c r="B89" s="343">
        <v>62</v>
      </c>
      <c r="C89" s="710"/>
      <c r="D89" s="710"/>
      <c r="E89" s="710"/>
      <c r="F89" s="710"/>
      <c r="H89" s="112"/>
    </row>
    <row r="90" spans="1:8" ht="15.75" customHeight="1" x14ac:dyDescent="0.25">
      <c r="A90" s="205"/>
      <c r="C90" s="348" t="s">
        <v>32</v>
      </c>
      <c r="D90" s="348" t="s">
        <v>32</v>
      </c>
      <c r="E90" s="348" t="s">
        <v>32</v>
      </c>
      <c r="F90" s="348" t="s">
        <v>32</v>
      </c>
    </row>
    <row r="91" spans="1:8" ht="15.75" customHeight="1" x14ac:dyDescent="0.25">
      <c r="A91" s="341" t="s">
        <v>39</v>
      </c>
      <c r="B91" s="343">
        <v>63</v>
      </c>
      <c r="C91" s="711">
        <f>SUM(C81:C88)+C89</f>
        <v>74755807.069999993</v>
      </c>
      <c r="D91" s="711">
        <f>SUM(D81:D88)+D89</f>
        <v>74729632.510000035</v>
      </c>
      <c r="E91" s="711">
        <f>SUM(E81:E88)+E89</f>
        <v>79432012.922013372</v>
      </c>
      <c r="F91" s="711">
        <f>SUM(F81:F88)+F89</f>
        <v>82138558.841076285</v>
      </c>
      <c r="H91" s="112"/>
    </row>
    <row r="92" spans="1:8" ht="15.75" customHeight="1" x14ac:dyDescent="0.25">
      <c r="A92" s="341" t="s">
        <v>40</v>
      </c>
      <c r="B92" s="343">
        <v>64</v>
      </c>
      <c r="C92" s="711">
        <f>C78+C91</f>
        <v>136337386.03</v>
      </c>
      <c r="D92" s="711">
        <f>D78+D91</f>
        <v>147996503.25000003</v>
      </c>
      <c r="E92" s="711">
        <f>E78+E91</f>
        <v>145759916.22201335</v>
      </c>
      <c r="F92" s="711">
        <f>F78+F91</f>
        <v>87004282.140000001</v>
      </c>
    </row>
    <row r="93" spans="1:8" ht="15.75" customHeight="1" x14ac:dyDescent="0.25">
      <c r="A93" s="341" t="s">
        <v>41</v>
      </c>
      <c r="B93" s="343">
        <v>65</v>
      </c>
      <c r="C93" s="711">
        <f>C48-C78</f>
        <v>74755807.069999993</v>
      </c>
      <c r="D93" s="711">
        <f>D48-D78</f>
        <v>74729632.510000035</v>
      </c>
      <c r="E93" s="711">
        <f>E48-E78</f>
        <v>75432012.922013372</v>
      </c>
      <c r="F93" s="711">
        <f>F48-F78</f>
        <v>78138558.841076285</v>
      </c>
    </row>
    <row r="94" spans="1:8" ht="15.75" customHeight="1" x14ac:dyDescent="0.25">
      <c r="A94" s="341" t="s">
        <v>42</v>
      </c>
      <c r="B94" s="343">
        <v>66</v>
      </c>
      <c r="C94" s="711">
        <f>C78+C93</f>
        <v>136337386.03</v>
      </c>
      <c r="D94" s="711">
        <f>D78+D93</f>
        <v>147996503.25000003</v>
      </c>
      <c r="E94" s="711">
        <f>E78+E93</f>
        <v>141759916.22201335</v>
      </c>
      <c r="F94" s="711">
        <f>F78+F93</f>
        <v>83004282.140000001</v>
      </c>
    </row>
    <row r="95" spans="1:8" ht="12" customHeight="1" x14ac:dyDescent="0.25">
      <c r="C95" s="348" t="s">
        <v>35</v>
      </c>
      <c r="D95" s="348" t="s">
        <v>35</v>
      </c>
      <c r="E95" s="348" t="s">
        <v>35</v>
      </c>
      <c r="F95" s="348" t="s">
        <v>35</v>
      </c>
    </row>
    <row r="96" spans="1:8" x14ac:dyDescent="0.25">
      <c r="C96" s="352"/>
      <c r="D96" s="352"/>
      <c r="E96" s="352"/>
      <c r="F96" s="353"/>
    </row>
    <row r="97" spans="3:6" x14ac:dyDescent="0.25">
      <c r="F97" s="198"/>
    </row>
    <row r="98" spans="3:6" x14ac:dyDescent="0.25">
      <c r="E98" s="198"/>
      <c r="F98" s="198"/>
    </row>
    <row r="100" spans="3:6" x14ac:dyDescent="0.25">
      <c r="F100" s="198"/>
    </row>
    <row r="101" spans="3:6" x14ac:dyDescent="0.25">
      <c r="D101" s="148"/>
      <c r="E101" s="148"/>
      <c r="F101" s="148"/>
    </row>
    <row r="102" spans="3:6" x14ac:dyDescent="0.25">
      <c r="E102" s="354"/>
      <c r="F102" s="198"/>
    </row>
    <row r="103" spans="3:6" x14ac:dyDescent="0.25">
      <c r="E103" s="354"/>
      <c r="F103" s="198"/>
    </row>
    <row r="106" spans="3:6" x14ac:dyDescent="0.25">
      <c r="C106" s="351"/>
    </row>
    <row r="109" spans="3:6" x14ac:dyDescent="0.25">
      <c r="C109" s="351"/>
      <c r="D109" s="351"/>
      <c r="E109" s="351"/>
      <c r="F109" s="351"/>
    </row>
  </sheetData>
  <sheetProtection formatColumns="0"/>
  <mergeCells count="8">
    <mergeCell ref="G6:H6"/>
    <mergeCell ref="E1:F1"/>
    <mergeCell ref="G1:H1"/>
    <mergeCell ref="C3:F3"/>
    <mergeCell ref="C4:F4"/>
    <mergeCell ref="C2:F2"/>
    <mergeCell ref="C5:F5"/>
    <mergeCell ref="C6:F6"/>
  </mergeCells>
  <phoneticPr fontId="0" type="noConversion"/>
  <dataValidations count="1">
    <dataValidation type="list" allowBlank="1" showInputMessage="1" showErrorMessage="1" sqref="C4:F4" xr:uid="{00000000-0002-0000-0800-000000000000}">
      <formula1>"3/31/2022, 6/30/2022, 9/30/2022, 12/31/2022, 3/31/2023, 6/30/2023, 9/30/2023, 12/31/2023, 3/31/2024, 6/30/2024, 9/30/2024, 12/31/2024"</formula1>
    </dataValidation>
  </dataValidations>
  <pageMargins left="0.75" right="0.75" top="0.89" bottom="0.83" header="0.5" footer="0.5"/>
  <pageSetup scale="44"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642FC5B8B920D4BB6C445E99411392A" ma:contentTypeVersion="21" ma:contentTypeDescription="Create a new document." ma:contentTypeScope="" ma:versionID="598d83c8d5cc8588e411bfec4547a831">
  <xsd:schema xmlns:xsd="http://www.w3.org/2001/XMLSchema" xmlns:xs="http://www.w3.org/2001/XMLSchema" xmlns:p="http://schemas.microsoft.com/office/2006/metadata/properties" xmlns:ns2="6f41c3f9-0ddd-4792-9cc5-2aa494f8de60" xmlns:ns3="3efdb8b0-c47e-4c3c-846a-2bf99d413b35" targetNamespace="http://schemas.microsoft.com/office/2006/metadata/properties" ma:root="true" ma:fieldsID="948c543ea909ea80c5ff6b0faeacd521" ns2:_="" ns3:_="">
    <xsd:import namespace="6f41c3f9-0ddd-4792-9cc5-2aa494f8de60"/>
    <xsd:import namespace="3efdb8b0-c47e-4c3c-846a-2bf99d413b3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3:TaxCatchAll" minOccurs="0"/>
                <xsd:element ref="ns2:TopicofOutreach" minOccurs="0"/>
                <xsd:element ref="ns2:Dateoutreachsent" minOccurs="0"/>
                <xsd:element ref="ns2:Reviewed" minOccurs="0"/>
                <xsd:element ref="ns2:MediaServiceObjectDetectorVersions" minOccurs="0"/>
                <xsd:element ref="ns2:MediaServiceSearchProperties" minOccurs="0"/>
                <xsd:element ref="ns2:Program" minOccurs="0"/>
                <xsd:element ref="ns2:CompleteorNo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41c3f9-0ddd-4792-9cc5-2aa494f8d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TopicofOutreach" ma:index="22" nillable="true" ma:displayName="Topic of Outreach" ma:format="Dropdown" ma:internalName="TopicofOutreach">
      <xsd:simpleType>
        <xsd:restriction base="dms:Note">
          <xsd:maxLength value="255"/>
        </xsd:restriction>
      </xsd:simpleType>
    </xsd:element>
    <xsd:element name="Dateoutreachsent" ma:index="23" nillable="true" ma:displayName="Date outreach sent " ma:format="DateOnly" ma:internalName="Dateoutreachsent">
      <xsd:simpleType>
        <xsd:restriction base="dms:DateTime"/>
      </xsd:simpleType>
    </xsd:element>
    <xsd:element name="Reviewed" ma:index="24" nillable="true" ma:displayName="Reviewed" ma:default="0" ma:format="Dropdown" ma:internalName="Reviewed">
      <xsd:simpleType>
        <xsd:restriction base="dms:Boolea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Program" ma:index="27" nillable="true" ma:displayName="Program" ma:format="Dropdown" ma:internalName="Program">
      <xsd:simpleType>
        <xsd:restriction base="dms:Choice">
          <xsd:enumeration value="One Care "/>
          <xsd:enumeration value="SCO"/>
          <xsd:enumeration value="PACE"/>
        </xsd:restriction>
      </xsd:simpleType>
    </xsd:element>
    <xsd:element name="CompleteorNo_x003f_" ma:index="28" nillable="true" ma:displayName="Complete or No?" ma:format="Dropdown" ma:internalName="CompleteorNo_x003f_">
      <xsd:simpleType>
        <xsd:restriction base="dms:Choice">
          <xsd:enumeration value="Complete"/>
        </xsd:restriction>
      </xsd:simpleType>
    </xsd:element>
  </xsd:schema>
  <xsd:schema xmlns:xsd="http://www.w3.org/2001/XMLSchema" xmlns:xs="http://www.w3.org/2001/XMLSchema" xmlns:dms="http://schemas.microsoft.com/office/2006/documentManagement/types" xmlns:pc="http://schemas.microsoft.com/office/infopath/2007/PartnerControls" targetNamespace="3efdb8b0-c47e-4c3c-846a-2bf99d413b3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18b40b15-145b-42ce-8af4-d69715b8fbd9}" ma:internalName="TaxCatchAll" ma:showField="CatchAllData" ma:web="3efdb8b0-c47e-4c3c-846a-2bf99d413b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efdb8b0-c47e-4c3c-846a-2bf99d413b35" xsi:nil="true"/>
    <lcf76f155ced4ddcb4097134ff3c332f xmlns="6f41c3f9-0ddd-4792-9cc5-2aa494f8de60">
      <Terms xmlns="http://schemas.microsoft.com/office/infopath/2007/PartnerControls"/>
    </lcf76f155ced4ddcb4097134ff3c332f>
    <TopicofOutreach xmlns="6f41c3f9-0ddd-4792-9cc5-2aa494f8de60" xsi:nil="true"/>
    <Dateoutreachsent xmlns="6f41c3f9-0ddd-4792-9cc5-2aa494f8de60" xsi:nil="true"/>
    <Reviewed xmlns="6f41c3f9-0ddd-4792-9cc5-2aa494f8de60">false</Reviewed>
    <Program xmlns="6f41c3f9-0ddd-4792-9cc5-2aa494f8de60" xsi:nil="true"/>
    <CompleteorNo_x003f_ xmlns="6f41c3f9-0ddd-4792-9cc5-2aa494f8de60" xsi:nil="true"/>
    <SharedWithUsers xmlns="3efdb8b0-c47e-4c3c-846a-2bf99d413b35">
      <UserInfo>
        <DisplayName/>
        <AccountId xsi:nil="true"/>
        <AccountType/>
      </UserInfo>
    </SharedWithUsers>
  </documentManagement>
</p:properties>
</file>

<file path=customXml/itemProps1.xml><?xml version="1.0" encoding="utf-8"?>
<ds:datastoreItem xmlns:ds="http://schemas.openxmlformats.org/officeDocument/2006/customXml" ds:itemID="{DE2774D5-7750-48F8-9773-B4770698C5AB}"/>
</file>

<file path=customXml/itemProps2.xml><?xml version="1.0" encoding="utf-8"?>
<ds:datastoreItem xmlns:ds="http://schemas.openxmlformats.org/officeDocument/2006/customXml" ds:itemID="{1FD8EDB0-5FC5-4EFC-AE69-C940FC092528}"/>
</file>

<file path=customXml/itemProps3.xml><?xml version="1.0" encoding="utf-8"?>
<ds:datastoreItem xmlns:ds="http://schemas.openxmlformats.org/officeDocument/2006/customXml" ds:itemID="{69472878-BAF6-462C-AB70-2937F88A7038}"/>
</file>

<file path=docMetadata/LabelInfo.xml><?xml version="1.0" encoding="utf-8"?>
<clbl:labelList xmlns:clbl="http://schemas.microsoft.com/office/2020/mipLabelMetadata">
  <clbl:label id="{6edb8a01-35b9-4a48-b170-fdf11bf47982}" enabled="1" method="Standard" siteId="{31ed7105-f120-41bd-82d8-77d493bbbb3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22</vt:i4>
      </vt:variant>
    </vt:vector>
  </HeadingPairs>
  <TitlesOfParts>
    <vt:vector size="51" baseType="lpstr">
      <vt:lpstr>General Instructions</vt:lpstr>
      <vt:lpstr>Submisson Dates</vt:lpstr>
      <vt:lpstr>Template Instruction</vt:lpstr>
      <vt:lpstr>Rating Category Definitions</vt:lpstr>
      <vt:lpstr>Medical Services Definitions</vt:lpstr>
      <vt:lpstr>COS Specification</vt:lpstr>
      <vt:lpstr>COS Technical Specifications</vt:lpstr>
      <vt:lpstr>Schedule 1_Enrollment</vt:lpstr>
      <vt:lpstr>Schedule 2_Balance Sheet</vt:lpstr>
      <vt:lpstr>Schedule 3A_Income Statement</vt:lpstr>
      <vt:lpstr>Schedule 3B_Income_Eastern</vt:lpstr>
      <vt:lpstr>Schedule 3C_Income_Western</vt:lpstr>
      <vt:lpstr>Schedule 3D_Income_The Cape</vt:lpstr>
      <vt:lpstr>4_Footnotes</vt:lpstr>
      <vt:lpstr>Schedule 5_Cash Flow</vt:lpstr>
      <vt:lpstr>Schedule 6_Medical Expense</vt:lpstr>
      <vt:lpstr>Schedule 7_Utilization</vt:lpstr>
      <vt:lpstr>Schedule 8_Indicators</vt:lpstr>
      <vt:lpstr>Schedule 9_Solvency Req.</vt:lpstr>
      <vt:lpstr>Schedule 10_APMs</vt:lpstr>
      <vt:lpstr>11A_Lag Report Physician</vt:lpstr>
      <vt:lpstr>11B_Lag Report Inpatient</vt:lpstr>
      <vt:lpstr>11C_Lag Report Outpatient</vt:lpstr>
      <vt:lpstr>11D_Lag Report Pharmacy</vt:lpstr>
      <vt:lpstr>11E_Lag Report Other</vt:lpstr>
      <vt:lpstr>Schedule 12_Certification</vt:lpstr>
      <vt:lpstr>Notes</vt:lpstr>
      <vt:lpstr>ChangeLog</vt:lpstr>
      <vt:lpstr>ICO MS</vt:lpstr>
      <vt:lpstr>'11A_Lag Report Physician'!Print_Area</vt:lpstr>
      <vt:lpstr>'11B_Lag Report Inpatient'!Print_Area</vt:lpstr>
      <vt:lpstr>'11C_Lag Report Outpatient'!Print_Area</vt:lpstr>
      <vt:lpstr>'11D_Lag Report Pharmacy'!Print_Area</vt:lpstr>
      <vt:lpstr>'11E_Lag Report Other'!Print_Area</vt:lpstr>
      <vt:lpstr>'4_Footnotes'!Print_Area</vt:lpstr>
      <vt:lpstr>ChangeLog!Print_Area</vt:lpstr>
      <vt:lpstr>'Schedule 2_Balance Sheet'!Print_Area</vt:lpstr>
      <vt:lpstr>'Schedule 3A_Income Statement'!Print_Area</vt:lpstr>
      <vt:lpstr>'Schedule 3B_Income_Eastern'!Print_Area</vt:lpstr>
      <vt:lpstr>'Schedule 3C_Income_Western'!Print_Area</vt:lpstr>
      <vt:lpstr>'Schedule 3D_Income_The Cape'!Print_Area</vt:lpstr>
      <vt:lpstr>'Schedule 5_Cash Flow'!Print_Area</vt:lpstr>
      <vt:lpstr>'Schedule 8_Indicators'!Print_Area</vt:lpstr>
      <vt:lpstr>'Schedule 9_Solvency Req.'!Print_Area</vt:lpstr>
      <vt:lpstr>'11A_Lag Report Physician'!Print_Titles</vt:lpstr>
      <vt:lpstr>'11B_Lag Report Inpatient'!Print_Titles</vt:lpstr>
      <vt:lpstr>'11C_Lag Report Outpatient'!Print_Titles</vt:lpstr>
      <vt:lpstr>'11D_Lag Report Pharmacy'!Print_Titles</vt:lpstr>
      <vt:lpstr>'11E_Lag Report Other'!Print_Titles</vt:lpstr>
      <vt:lpstr>'4_Footnotes'!Print_Titles</vt:lpstr>
      <vt:lpstr>'Schedule 10_APMs'!Print_Titles</vt:lpstr>
    </vt:vector>
  </TitlesOfParts>
  <Company>Marsh &amp; McLennan Companies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Prentiss, Ryan (ELD)</dc:creator>
  <cp:keywords>Updated COS Specs</cp:keywords>
  <cp:lastModifiedBy>Porter, Mark</cp:lastModifiedBy>
  <cp:lastPrinted>2022-05-26T01:21:36Z</cp:lastPrinted>
  <dcterms:created xsi:type="dcterms:W3CDTF">2012-07-31T22:32:51Z</dcterms:created>
  <dcterms:modified xsi:type="dcterms:W3CDTF">2025-10-31T16:06:55Z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2021-09-21T17:46:43Z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d9d170d8-2016-47a9-8549-7780fdfb15ef</vt:lpwstr>
  </property>
  <property fmtid="{D5CDD505-2E9C-101B-9397-08002B2CF9AE}" pid="8" name="MSIP_Label_38f1469a-2c2a-4aee-b92b-090d4c5468ff_ContentBits">
    <vt:lpwstr>0</vt:lpwstr>
  </property>
  <property fmtid="{D5CDD505-2E9C-101B-9397-08002B2CF9AE}" pid="9" name="SV_QUERY_LIST_4F35BF76-6C0D-4D9B-82B2-816C12CF3733">
    <vt:lpwstr>empty_477D106A-C0D6-4607-AEBD-E2C9D60EA279</vt:lpwstr>
  </property>
  <property fmtid="{D5CDD505-2E9C-101B-9397-08002B2CF9AE}" pid="10" name="SV_HIDDEN_GRID_QUERY_LIST_4F35BF76-6C0D-4D9B-82B2-816C12CF3733">
    <vt:lpwstr>empty_477D106A-C0D6-4607-AEBD-E2C9D60EA279</vt:lpwstr>
  </property>
  <property fmtid="{D5CDD505-2E9C-101B-9397-08002B2CF9AE}" pid="11" name="ContentTypeId">
    <vt:lpwstr>0x010100B642FC5B8B920D4BB6C445E99411392A</vt:lpwstr>
  </property>
  <property fmtid="{D5CDD505-2E9C-101B-9397-08002B2CF9AE}" pid="12" name="Order">
    <vt:r8>363900</vt:r8>
  </property>
  <property fmtid="{D5CDD505-2E9C-101B-9397-08002B2CF9AE}" pid="13" name="xd_Signature">
    <vt:bool>false</vt:bool>
  </property>
  <property fmtid="{D5CDD505-2E9C-101B-9397-08002B2CF9AE}" pid="14" name="xd_ProgID">
    <vt:lpwstr/>
  </property>
  <property fmtid="{D5CDD505-2E9C-101B-9397-08002B2CF9AE}" pid="15" name="_SourceUrl">
    <vt:lpwstr/>
  </property>
  <property fmtid="{D5CDD505-2E9C-101B-9397-08002B2CF9AE}" pid="16" name="_SharedFileIndex">
    <vt:lpwstr/>
  </property>
  <property fmtid="{D5CDD505-2E9C-101B-9397-08002B2CF9AE}" pid="17" name="ComplianceAssetId">
    <vt:lpwstr/>
  </property>
  <property fmtid="{D5CDD505-2E9C-101B-9397-08002B2CF9AE}" pid="18" name="TemplateUrl">
    <vt:lpwstr/>
  </property>
  <property fmtid="{D5CDD505-2E9C-101B-9397-08002B2CF9AE}" pid="19" name="_ExtendedDescription">
    <vt:lpwstr/>
  </property>
  <property fmtid="{D5CDD505-2E9C-101B-9397-08002B2CF9AE}" pid="20" name="TriggerFlowInfo">
    <vt:lpwstr/>
  </property>
  <property fmtid="{D5CDD505-2E9C-101B-9397-08002B2CF9AE}" pid="21" name="MediaServiceImageTags">
    <vt:lpwstr/>
  </property>
</Properties>
</file>