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5976" windowWidth="15372" windowHeight="1176" activeTab="1"/>
  </bookViews>
  <sheets>
    <sheet name="2016" sheetId="9" r:id="rId1"/>
    <sheet name="2017" sheetId="10" r:id="rId2"/>
  </sheets>
  <definedNames>
    <definedName name="_xlnm.Print_Area" localSheetId="0">'2016'!$A$1:$V$51</definedName>
  </definedNames>
  <calcPr calcId="162913"/>
</workbook>
</file>

<file path=xl/calcChain.xml><?xml version="1.0" encoding="utf-8"?>
<calcChain xmlns="http://schemas.openxmlformats.org/spreadsheetml/2006/main">
  <c r="M37" i="10" l="1"/>
  <c r="B14" i="10"/>
  <c r="M19" i="10"/>
  <c r="Q12" i="10"/>
  <c r="P37" i="9" l="1"/>
  <c r="D14" i="10"/>
  <c r="B12" i="10"/>
  <c r="C12" i="10"/>
  <c r="E12" i="10"/>
  <c r="D12" i="10"/>
  <c r="M37" i="9" l="1"/>
  <c r="M19" i="9"/>
  <c r="L32" i="9" l="1"/>
  <c r="Q12" i="9" l="1"/>
  <c r="B14" i="9" l="1"/>
  <c r="D14" i="9"/>
  <c r="N38" i="10" l="1"/>
  <c r="J38" i="10"/>
  <c r="Q37" i="10"/>
  <c r="P38" i="10"/>
  <c r="Q36" i="10"/>
  <c r="Q35" i="10"/>
  <c r="Q34" i="10"/>
  <c r="L33" i="10"/>
  <c r="F33" i="10"/>
  <c r="Q32" i="10"/>
  <c r="Q31" i="10"/>
  <c r="Q30" i="10"/>
  <c r="Q29" i="10"/>
  <c r="Q28" i="10"/>
  <c r="Q27" i="10"/>
  <c r="L26" i="10"/>
  <c r="Q25" i="10"/>
  <c r="Q24" i="10"/>
  <c r="Q23" i="10"/>
  <c r="Q22" i="10"/>
  <c r="Q21" i="10"/>
  <c r="P20" i="10"/>
  <c r="O20" i="10"/>
  <c r="O38" i="10" s="1"/>
  <c r="N20" i="10"/>
  <c r="M20" i="10"/>
  <c r="M38" i="10" s="1"/>
  <c r="L20" i="10"/>
  <c r="K20" i="10"/>
  <c r="K38" i="10" s="1"/>
  <c r="J20" i="10"/>
  <c r="I20" i="10"/>
  <c r="I38" i="10" s="1"/>
  <c r="H20" i="10"/>
  <c r="H38" i="10" s="1"/>
  <c r="G20" i="10"/>
  <c r="G38" i="10" s="1"/>
  <c r="F20" i="10"/>
  <c r="D20" i="10"/>
  <c r="D38" i="10" s="1"/>
  <c r="Q19" i="10"/>
  <c r="Q18" i="10"/>
  <c r="Q17" i="10"/>
  <c r="Q16" i="10"/>
  <c r="Q15" i="10"/>
  <c r="Q14" i="10"/>
  <c r="Q13" i="10"/>
  <c r="E20" i="10"/>
  <c r="E38" i="10" s="1"/>
  <c r="L38" i="10" l="1"/>
  <c r="F38" i="10"/>
  <c r="B20" i="10"/>
  <c r="B38" i="10" s="1"/>
  <c r="Q38" i="10" s="1"/>
  <c r="C20" i="10"/>
  <c r="C38" i="10" s="1"/>
  <c r="C12" i="9" l="1"/>
  <c r="B12" i="9"/>
  <c r="E12" i="9"/>
  <c r="D12" i="9"/>
  <c r="O38" i="9" l="1"/>
  <c r="Q37" i="9"/>
  <c r="Q36" i="9"/>
  <c r="Q35" i="9"/>
  <c r="Q34" i="9"/>
  <c r="L33" i="9"/>
  <c r="F33" i="9"/>
  <c r="Q32" i="9"/>
  <c r="Q31" i="9"/>
  <c r="Q30" i="9"/>
  <c r="Q29" i="9"/>
  <c r="Q28" i="9"/>
  <c r="Q27" i="9"/>
  <c r="L26" i="9"/>
  <c r="Q25" i="9"/>
  <c r="Q24" i="9"/>
  <c r="Q23" i="9"/>
  <c r="Q22" i="9"/>
  <c r="Q21" i="9"/>
  <c r="P20" i="9"/>
  <c r="O20" i="9"/>
  <c r="N20" i="9"/>
  <c r="N38" i="9" s="1"/>
  <c r="M20" i="9"/>
  <c r="M38" i="9" s="1"/>
  <c r="L20" i="9"/>
  <c r="K20" i="9"/>
  <c r="K38" i="9" s="1"/>
  <c r="J20" i="9"/>
  <c r="J38" i="9" s="1"/>
  <c r="I20" i="9"/>
  <c r="I38" i="9" s="1"/>
  <c r="H20" i="9"/>
  <c r="H38" i="9" s="1"/>
  <c r="G20" i="9"/>
  <c r="G38" i="9" s="1"/>
  <c r="F20" i="9"/>
  <c r="Q19" i="9"/>
  <c r="Q18" i="9"/>
  <c r="Q17" i="9"/>
  <c r="Q16" i="9"/>
  <c r="Q15" i="9"/>
  <c r="Q14" i="9"/>
  <c r="Q13" i="9"/>
  <c r="E20" i="9"/>
  <c r="E38" i="9" s="1"/>
  <c r="D20" i="9"/>
  <c r="D38" i="9" s="1"/>
  <c r="C20" i="9"/>
  <c r="C38" i="9" s="1"/>
  <c r="F38" i="9" l="1"/>
  <c r="L38" i="9"/>
  <c r="P38" i="9"/>
  <c r="B20" i="9" l="1"/>
  <c r="B38" i="9" s="1"/>
  <c r="Q38" i="9" s="1"/>
</calcChain>
</file>

<file path=xl/comments1.xml><?xml version="1.0" encoding="utf-8"?>
<comments xmlns="http://schemas.openxmlformats.org/spreadsheetml/2006/main">
  <authors>
    <author>TUFTS Medical Center</author>
    <author>z.zhou</author>
  </authors>
  <commentList>
    <comment ref="D12" authorId="0">
      <text>
        <r>
          <rPr>
            <sz val="9"/>
            <color indexed="81"/>
            <rFont val="Tahoma"/>
            <family val="2"/>
          </rPr>
          <t>09.13.16 mf
HPIP Incentive % for the FY</t>
        </r>
      </text>
    </comment>
    <comment ref="E12" authorId="0">
      <text>
        <r>
          <rPr>
            <sz val="9"/>
            <color indexed="81"/>
            <rFont val="Tahoma"/>
            <family val="2"/>
          </rPr>
          <t>09.13.16 mf
HPIP Incentive % for the FY</t>
        </r>
      </text>
    </comment>
    <comment ref="D14" authorId="1">
      <text>
        <r>
          <rPr>
            <b/>
            <sz val="9"/>
            <color indexed="81"/>
            <rFont val="Tahoma"/>
            <family val="2"/>
          </rPr>
          <t>z.zhou:</t>
        </r>
        <r>
          <rPr>
            <sz val="9"/>
            <color indexed="81"/>
            <rFont val="Tahoma"/>
            <family val="2"/>
          </rPr>
          <t xml:space="preserve">
assume OP 90% is entitled to HPIP</t>
        </r>
      </text>
    </comment>
    <comment ref="P37" authorId="0">
      <text>
        <r>
          <rPr>
            <sz val="9"/>
            <color indexed="81"/>
            <rFont val="Tahoma"/>
            <family val="2"/>
          </rPr>
          <t xml:space="preserve">Release Prior Year A/R Reserve + Reclass Contract Reserve
</t>
        </r>
      </text>
    </comment>
  </commentList>
</comments>
</file>

<file path=xl/comments2.xml><?xml version="1.0" encoding="utf-8"?>
<comments xmlns="http://schemas.openxmlformats.org/spreadsheetml/2006/main">
  <authors>
    <author>TUFTS Medical Center</author>
    <author>z.zhou</author>
  </authors>
  <commentList>
    <comment ref="D12" authorId="0">
      <text>
        <r>
          <rPr>
            <sz val="9"/>
            <color indexed="81"/>
            <rFont val="Tahoma"/>
            <family val="2"/>
          </rPr>
          <t>09.13.16 mf
HPIP Incentive % for the FY</t>
        </r>
      </text>
    </comment>
    <comment ref="E12" authorId="0">
      <text>
        <r>
          <rPr>
            <sz val="9"/>
            <color indexed="81"/>
            <rFont val="Tahoma"/>
            <family val="2"/>
          </rPr>
          <t>09.13.16 mf
HPIP Incentive % for the FY</t>
        </r>
      </text>
    </comment>
    <comment ref="D14" authorId="1">
      <text>
        <r>
          <rPr>
            <b/>
            <sz val="9"/>
            <color indexed="81"/>
            <rFont val="Tahoma"/>
            <family val="2"/>
          </rPr>
          <t>z.zhou:</t>
        </r>
        <r>
          <rPr>
            <sz val="9"/>
            <color indexed="81"/>
            <rFont val="Tahoma"/>
            <family val="2"/>
          </rPr>
          <t xml:space="preserve">
assume OP 90% is entitled to HPIP</t>
        </r>
      </text>
    </comment>
    <comment ref="P37" authorId="0">
      <text>
        <r>
          <rPr>
            <sz val="9"/>
            <color indexed="81"/>
            <rFont val="Tahoma"/>
            <family val="2"/>
          </rPr>
          <t xml:space="preserve">Release Prior Year A/R Reserve + Reclass Contract Reserve
</t>
        </r>
      </text>
    </comment>
  </commentList>
</comments>
</file>

<file path=xl/sharedStrings.xml><?xml version="1.0" encoding="utf-8"?>
<sst xmlns="http://schemas.openxmlformats.org/spreadsheetml/2006/main" count="142" uniqueCount="47">
  <si>
    <t>Quality</t>
  </si>
  <si>
    <t>HMO</t>
  </si>
  <si>
    <t>PPO</t>
  </si>
  <si>
    <t>Both</t>
  </si>
  <si>
    <t>BCBSMA</t>
  </si>
  <si>
    <t>Tufts</t>
  </si>
  <si>
    <t>HPHC</t>
  </si>
  <si>
    <t>Fallon</t>
  </si>
  <si>
    <t>CIGNA</t>
  </si>
  <si>
    <t xml:space="preserve">United </t>
  </si>
  <si>
    <t>Aetna</t>
  </si>
  <si>
    <t>Other Commercial</t>
  </si>
  <si>
    <t>Total Commercial</t>
  </si>
  <si>
    <t>Network Health</t>
  </si>
  <si>
    <t>NHP</t>
  </si>
  <si>
    <t>BMC Healthnet</t>
  </si>
  <si>
    <t>Total Managed Medicaid</t>
  </si>
  <si>
    <t>Mass Health</t>
  </si>
  <si>
    <t>Tufts Medicare Preferred</t>
  </si>
  <si>
    <t>Blue Cross Senior Options</t>
  </si>
  <si>
    <t>Other Comm Medicare</t>
  </si>
  <si>
    <t>Commercial Medicare  Subtotal</t>
  </si>
  <si>
    <t>Medicare</t>
  </si>
  <si>
    <t>GRAND TOTAL</t>
  </si>
  <si>
    <t>Claims-Based Revenue</t>
  </si>
  <si>
    <t>Budget Surplus/</t>
  </si>
  <si>
    <t>(Deficit) Revenue</t>
  </si>
  <si>
    <t>P4P Contracts</t>
  </si>
  <si>
    <t>Risk Contracts</t>
  </si>
  <si>
    <t>FFS Arrangements</t>
  </si>
  <si>
    <t>Incentive-Based Revenue</t>
  </si>
  <si>
    <t>Incentive</t>
  </si>
  <si>
    <t>Revenue</t>
  </si>
  <si>
    <t xml:space="preserve">Other Revenue Arrangements </t>
  </si>
  <si>
    <t>Grand</t>
  </si>
  <si>
    <t>Total</t>
  </si>
  <si>
    <t>Notes:</t>
  </si>
  <si>
    <t>Tufts Medical Center</t>
  </si>
  <si>
    <t>do not distinguish HMO v. PPO, reported all as HMO</t>
  </si>
  <si>
    <t>no delineation by product, reprt as PPO</t>
  </si>
  <si>
    <t>classified all as PPO</t>
  </si>
  <si>
    <t>All Other Payors</t>
  </si>
  <si>
    <t>includes Comm Conn + GIC + Wcomp+ OOState Mediciaid + Other, classified all as PPO</t>
  </si>
  <si>
    <t>no delineation by product, reprt as PPO (include urn-transplant)</t>
  </si>
  <si>
    <t>includes Comm Conn + GIC + Wcomp+ OOState Mediciaid + Medicaid Psych + Beacon etc other Medcaid govn + Other, classified all as PPO</t>
  </si>
  <si>
    <t>HPIP %</t>
  </si>
  <si>
    <t>HPIP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</si>
</sst>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%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10"/>
      <name val="Cambria"/>
      <family val="1"/>
      <scheme val="major"/>
    </font>
    <font>
      <sz val="11"/>
      <color theme="1"/>
      <name val="Calibri"/>
      <family val="2"/>
      <scheme val="minor"/>
    </font>
    <font>
      <sz val="10"/>
      <color rgb="FFFF0000"/>
      <name val="Cambria"/>
      <family val="1"/>
      <scheme val="major"/>
    </font>
    <font>
      <b/>
      <sz val="10"/>
      <name val="Cambria"/>
      <family val="1"/>
      <scheme val="major"/>
    </font>
    <font>
      <b/>
      <i/>
      <sz val="10"/>
      <name val="Cambria"/>
      <family val="1"/>
      <scheme val="major"/>
    </font>
    <font>
      <i/>
      <sz val="10"/>
      <name val="Cambria"/>
      <family val="1"/>
      <scheme val="maj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0">
    <xf numFmtId="0" fontId="0" fillId="0" borderId="0" xfId="0"/>
    <xf numFmtId="164" fontId="1" fillId="0" borderId="12" xfId="1" applyNumberFormat="1" applyFont="1" applyBorder="1" applyAlignment="1">
      <alignment horizontal="center" vertical="center" wrapText="1"/>
    </xf>
    <xf numFmtId="164" fontId="2" fillId="0" borderId="12" xfId="1" applyNumberFormat="1" applyFont="1" applyBorder="1" applyAlignment="1">
      <alignment horizontal="center" vertical="center" wrapText="1"/>
    </xf>
    <xf numFmtId="164" fontId="1" fillId="0" borderId="12" xfId="1" applyNumberFormat="1" applyFont="1" applyBorder="1" applyAlignment="1">
      <alignment vertical="center" wrapText="1"/>
    </xf>
    <xf numFmtId="164" fontId="1" fillId="0" borderId="12" xfId="1" applyNumberFormat="1" applyFont="1" applyFill="1" applyBorder="1" applyAlignment="1">
      <alignment vertical="center" wrapText="1"/>
    </xf>
    <xf numFmtId="164" fontId="1" fillId="3" borderId="12" xfId="1" applyNumberFormat="1" applyFont="1" applyFill="1" applyBorder="1" applyAlignment="1">
      <alignment horizontal="center" vertical="center" wrapText="1"/>
    </xf>
    <xf numFmtId="164" fontId="4" fillId="0" borderId="12" xfId="1" applyNumberFormat="1" applyFont="1" applyBorder="1" applyAlignment="1">
      <alignment horizontal="center" vertical="center" wrapText="1"/>
    </xf>
    <xf numFmtId="164" fontId="4" fillId="0" borderId="12" xfId="1" applyNumberFormat="1" applyFont="1" applyFill="1" applyBorder="1" applyAlignment="1">
      <alignment horizontal="center" vertical="center" wrapText="1"/>
    </xf>
    <xf numFmtId="164" fontId="4" fillId="3" borderId="12" xfId="1" applyNumberFormat="1" applyFont="1" applyFill="1" applyBorder="1" applyAlignment="1">
      <alignment horizontal="center" vertical="center" wrapText="1"/>
    </xf>
    <xf numFmtId="164" fontId="4" fillId="2" borderId="12" xfId="1" applyNumberFormat="1" applyFont="1" applyFill="1" applyBorder="1" applyAlignment="1">
      <alignment horizontal="center" vertical="center" wrapText="1"/>
    </xf>
    <xf numFmtId="164" fontId="4" fillId="0" borderId="12" xfId="1" applyNumberFormat="1" applyFont="1" applyBorder="1" applyAlignment="1">
      <alignment vertical="center" wrapText="1"/>
    </xf>
    <xf numFmtId="164" fontId="4" fillId="2" borderId="12" xfId="1" applyNumberFormat="1" applyFont="1" applyFill="1" applyBorder="1" applyAlignment="1">
      <alignment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164" fontId="2" fillId="2" borderId="3" xfId="1" applyNumberFormat="1" applyFont="1" applyFill="1" applyBorder="1" applyAlignment="1">
      <alignment horizontal="left" vertical="center" wrapText="1"/>
    </xf>
    <xf numFmtId="164" fontId="7" fillId="2" borderId="3" xfId="1" applyNumberFormat="1" applyFont="1" applyFill="1" applyBorder="1" applyAlignment="1">
      <alignment horizontal="left" vertical="center" wrapText="1"/>
    </xf>
    <xf numFmtId="164" fontId="2" fillId="0" borderId="3" xfId="1" applyNumberFormat="1" applyFont="1" applyFill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164" fontId="2" fillId="0" borderId="12" xfId="1" applyNumberFormat="1" applyFont="1" applyBorder="1" applyAlignment="1">
      <alignment vertical="center" wrapText="1"/>
    </xf>
    <xf numFmtId="164" fontId="2" fillId="0" borderId="12" xfId="1" applyNumberFormat="1" applyFont="1" applyFill="1" applyBorder="1" applyAlignment="1">
      <alignment vertical="center" wrapText="1"/>
    </xf>
    <xf numFmtId="164" fontId="2" fillId="3" borderId="12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Alignment="1">
      <alignment horizontal="left"/>
    </xf>
    <xf numFmtId="164" fontId="9" fillId="0" borderId="0" xfId="1" applyNumberFormat="1" applyFont="1"/>
    <xf numFmtId="164" fontId="10" fillId="0" borderId="0" xfId="1" applyNumberFormat="1" applyFont="1" applyAlignment="1">
      <alignment horizontal="left"/>
    </xf>
    <xf numFmtId="164" fontId="9" fillId="0" borderId="0" xfId="1" applyNumberFormat="1" applyFont="1" applyFill="1"/>
    <xf numFmtId="0" fontId="8" fillId="0" borderId="0" xfId="1" applyNumberFormat="1" applyFont="1" applyAlignment="1">
      <alignment horizontal="left"/>
    </xf>
    <xf numFmtId="164" fontId="10" fillId="0" borderId="0" xfId="1" applyNumberFormat="1" applyFont="1"/>
    <xf numFmtId="164" fontId="8" fillId="0" borderId="0" xfId="1" applyNumberFormat="1" applyFont="1" applyAlignment="1">
      <alignment horizontal="center"/>
    </xf>
    <xf numFmtId="164" fontId="2" fillId="0" borderId="3" xfId="1" applyNumberFormat="1" applyFont="1" applyBorder="1" applyAlignment="1">
      <alignment horizontal="center" vertical="center" wrapText="1"/>
    </xf>
    <xf numFmtId="164" fontId="10" fillId="0" borderId="0" xfId="1" applyNumberFormat="1" applyFont="1" applyAlignment="1">
      <alignment horizontal="center"/>
    </xf>
    <xf numFmtId="164" fontId="10" fillId="0" borderId="0" xfId="1" applyNumberFormat="1" applyFont="1" applyFill="1"/>
    <xf numFmtId="43" fontId="9" fillId="0" borderId="0" xfId="1" applyNumberFormat="1" applyFont="1"/>
    <xf numFmtId="165" fontId="9" fillId="0" borderId="0" xfId="2" applyNumberFormat="1" applyFont="1"/>
    <xf numFmtId="164" fontId="2" fillId="0" borderId="3" xfId="1" applyNumberFormat="1" applyFont="1" applyBorder="1" applyAlignment="1">
      <alignment horizontal="left" vertical="center" wrapText="1"/>
    </xf>
    <xf numFmtId="164" fontId="8" fillId="0" borderId="0" xfId="1" applyNumberFormat="1" applyFont="1"/>
    <xf numFmtId="10" fontId="10" fillId="0" borderId="0" xfId="2" applyNumberFormat="1" applyFont="1"/>
    <xf numFmtId="166" fontId="10" fillId="0" borderId="0" xfId="2" applyNumberFormat="1" applyFont="1"/>
    <xf numFmtId="164" fontId="2" fillId="0" borderId="11" xfId="1" applyNumberFormat="1" applyFont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164" fontId="2" fillId="0" borderId="11" xfId="1" applyNumberFormat="1" applyFont="1" applyBorder="1" applyAlignment="1">
      <alignment vertical="top" wrapText="1"/>
    </xf>
    <xf numFmtId="164" fontId="2" fillId="0" borderId="8" xfId="1" applyNumberFormat="1" applyFont="1" applyBorder="1" applyAlignment="1">
      <alignment vertical="top" wrapText="1"/>
    </xf>
    <xf numFmtId="164" fontId="2" fillId="0" borderId="7" xfId="1" applyNumberFormat="1" applyFont="1" applyBorder="1" applyAlignment="1">
      <alignment vertical="top" wrapText="1"/>
    </xf>
    <xf numFmtId="164" fontId="2" fillId="0" borderId="10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5" fillId="0" borderId="10" xfId="1" applyNumberFormat="1" applyFont="1" applyBorder="1" applyAlignment="1">
      <alignment horizontal="center" vertical="center" wrapText="1"/>
    </xf>
    <xf numFmtId="164" fontId="5" fillId="0" borderId="6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vertical="top" wrapText="1"/>
    </xf>
    <xf numFmtId="164" fontId="2" fillId="0" borderId="0" xfId="1" applyNumberFormat="1" applyFont="1" applyBorder="1" applyAlignment="1">
      <alignment vertical="top" wrapText="1"/>
    </xf>
    <xf numFmtId="164" fontId="2" fillId="0" borderId="6" xfId="1" applyNumberFormat="1" applyFont="1" applyBorder="1" applyAlignment="1">
      <alignment vertical="top" wrapText="1"/>
    </xf>
    <xf numFmtId="164" fontId="2" fillId="0" borderId="0" xfId="1" applyNumberFormat="1" applyFont="1" applyAlignment="1">
      <alignment vertical="top" wrapText="1"/>
    </xf>
    <xf numFmtId="164" fontId="2" fillId="0" borderId="1" xfId="1" applyNumberFormat="1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left" vertical="center" wrapText="1"/>
    </xf>
    <xf numFmtId="164" fontId="2" fillId="0" borderId="3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164" fontId="5" fillId="0" borderId="5" xfId="1" applyNumberFormat="1" applyFont="1" applyBorder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164" fontId="5" fillId="0" borderId="11" xfId="1" applyNumberFormat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164" fontId="5" fillId="0" borderId="8" xfId="1" applyNumberFormat="1" applyFont="1" applyBorder="1" applyAlignment="1">
      <alignment horizontal="center" vertical="center" wrapText="1"/>
    </xf>
  </cellXfs>
  <cellStyles count="5">
    <cellStyle name="Comma" xfId="1" builtinId="3"/>
    <cellStyle name="Comma 14" xfId="3"/>
    <cellStyle name="Comma 16" xf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52"/>
  <sheetViews>
    <sheetView zoomScale="85" zoomScaleNormal="85" workbookViewId="0">
      <selection activeCell="S37" sqref="S37"/>
    </sheetView>
  </sheetViews>
  <sheetFormatPr defaultColWidth="9.109375" defaultRowHeight="13.8" x14ac:dyDescent="0.3"/>
  <cols>
    <col min="1" max="1" width="10.88671875" style="23" customWidth="1"/>
    <col min="2" max="2" width="14.33203125" style="22" bestFit="1" customWidth="1"/>
    <col min="3" max="3" width="15" style="22" bestFit="1" customWidth="1"/>
    <col min="4" max="4" width="11.33203125" style="22" bestFit="1" customWidth="1"/>
    <col min="5" max="5" width="10.109375" style="22" bestFit="1" customWidth="1"/>
    <col min="6" max="6" width="13.33203125" style="22" customWidth="1"/>
    <col min="7" max="7" width="9.109375" style="22"/>
    <col min="8" max="8" width="9.88671875" style="22" bestFit="1" customWidth="1"/>
    <col min="9" max="11" width="9.109375" style="22"/>
    <col min="12" max="12" width="12.33203125" style="22" bestFit="1" customWidth="1"/>
    <col min="13" max="13" width="15" style="22" bestFit="1" customWidth="1"/>
    <col min="14" max="14" width="13.44140625" style="22" bestFit="1" customWidth="1"/>
    <col min="15" max="15" width="11.5546875" style="22" bestFit="1" customWidth="1"/>
    <col min="16" max="16" width="12.5546875" style="22" bestFit="1" customWidth="1"/>
    <col min="17" max="17" width="13.44140625" style="22" bestFit="1" customWidth="1"/>
    <col min="18" max="18" width="8.33203125" style="22" customWidth="1"/>
    <col min="19" max="19" width="11.5546875" style="22" bestFit="1" customWidth="1"/>
    <col min="20" max="20" width="9.109375" style="22"/>
    <col min="21" max="21" width="12.5546875" style="22" bestFit="1" customWidth="1"/>
    <col min="22" max="16384" width="9.109375" style="22"/>
  </cols>
  <sheetData>
    <row r="1" spans="1:19" ht="12.75" x14ac:dyDescent="0.2">
      <c r="A1" s="21" t="s">
        <v>37</v>
      </c>
    </row>
    <row r="2" spans="1:19" x14ac:dyDescent="0.3">
      <c r="C2" s="24"/>
      <c r="D2" s="24"/>
    </row>
    <row r="3" spans="1:19" x14ac:dyDescent="0.3">
      <c r="C3" s="32"/>
    </row>
    <row r="4" spans="1:19" s="26" customFormat="1" ht="14.4" thickBot="1" x14ac:dyDescent="0.35">
      <c r="A4" s="25">
        <v>2016</v>
      </c>
      <c r="C4" s="32"/>
    </row>
    <row r="5" spans="1:19" s="26" customFormat="1" x14ac:dyDescent="0.3">
      <c r="A5" s="50"/>
      <c r="B5" s="53" t="s">
        <v>27</v>
      </c>
      <c r="C5" s="54"/>
      <c r="D5" s="54"/>
      <c r="E5" s="55"/>
      <c r="F5" s="53" t="s">
        <v>28</v>
      </c>
      <c r="G5" s="54"/>
      <c r="H5" s="54"/>
      <c r="I5" s="54"/>
      <c r="J5" s="54"/>
      <c r="K5" s="55"/>
      <c r="L5" s="53" t="s">
        <v>29</v>
      </c>
      <c r="M5" s="55"/>
      <c r="N5" s="53" t="s">
        <v>33</v>
      </c>
      <c r="O5" s="54"/>
      <c r="P5" s="55"/>
    </row>
    <row r="6" spans="1:19" s="26" customFormat="1" x14ac:dyDescent="0.3">
      <c r="A6" s="51"/>
      <c r="B6" s="44"/>
      <c r="C6" s="56"/>
      <c r="D6" s="56"/>
      <c r="E6" s="45"/>
      <c r="F6" s="44"/>
      <c r="G6" s="56"/>
      <c r="H6" s="56"/>
      <c r="I6" s="56"/>
      <c r="J6" s="56"/>
      <c r="K6" s="45"/>
      <c r="L6" s="44"/>
      <c r="M6" s="45"/>
      <c r="N6" s="44"/>
      <c r="O6" s="56"/>
      <c r="P6" s="45"/>
    </row>
    <row r="7" spans="1:19" s="26" customFormat="1" ht="14.25" customHeight="1" thickBot="1" x14ac:dyDescent="0.35">
      <c r="A7" s="52"/>
      <c r="B7" s="57"/>
      <c r="C7" s="58"/>
      <c r="D7" s="58"/>
      <c r="E7" s="59"/>
      <c r="F7" s="57"/>
      <c r="G7" s="58"/>
      <c r="H7" s="58"/>
      <c r="I7" s="58"/>
      <c r="J7" s="58"/>
      <c r="K7" s="59"/>
      <c r="L7" s="44"/>
      <c r="M7" s="45"/>
      <c r="N7" s="44"/>
      <c r="O7" s="56"/>
      <c r="P7" s="45"/>
    </row>
    <row r="8" spans="1:19" s="26" customFormat="1" x14ac:dyDescent="0.3">
      <c r="A8" s="51"/>
      <c r="B8" s="42" t="s">
        <v>24</v>
      </c>
      <c r="C8" s="43"/>
      <c r="D8" s="42" t="s">
        <v>30</v>
      </c>
      <c r="E8" s="43"/>
      <c r="F8" s="42" t="s">
        <v>24</v>
      </c>
      <c r="G8" s="43"/>
      <c r="H8" s="42" t="s">
        <v>25</v>
      </c>
      <c r="I8" s="43"/>
      <c r="J8" s="42" t="s">
        <v>0</v>
      </c>
      <c r="K8" s="43"/>
      <c r="L8" s="44"/>
      <c r="M8" s="45"/>
      <c r="N8" s="46"/>
      <c r="O8" s="47"/>
      <c r="P8" s="48"/>
    </row>
    <row r="9" spans="1:19" s="26" customFormat="1" x14ac:dyDescent="0.3">
      <c r="A9" s="51"/>
      <c r="B9" s="42"/>
      <c r="C9" s="43"/>
      <c r="D9" s="42"/>
      <c r="E9" s="43"/>
      <c r="F9" s="42"/>
      <c r="G9" s="43"/>
      <c r="H9" s="42" t="s">
        <v>26</v>
      </c>
      <c r="I9" s="43"/>
      <c r="J9" s="42" t="s">
        <v>31</v>
      </c>
      <c r="K9" s="43"/>
      <c r="L9" s="46"/>
      <c r="M9" s="48"/>
      <c r="N9" s="46"/>
      <c r="O9" s="49"/>
      <c r="P9" s="48"/>
      <c r="Q9" s="27" t="s">
        <v>34</v>
      </c>
      <c r="R9" s="27"/>
    </row>
    <row r="10" spans="1:19" s="26" customFormat="1" ht="14.4" thickBot="1" x14ac:dyDescent="0.35">
      <c r="A10" s="52"/>
      <c r="B10" s="37"/>
      <c r="C10" s="38"/>
      <c r="D10" s="37"/>
      <c r="E10" s="38"/>
      <c r="F10" s="37"/>
      <c r="G10" s="38"/>
      <c r="H10" s="39"/>
      <c r="I10" s="40"/>
      <c r="J10" s="37" t="s">
        <v>32</v>
      </c>
      <c r="K10" s="38"/>
      <c r="L10" s="39"/>
      <c r="M10" s="40"/>
      <c r="N10" s="39"/>
      <c r="O10" s="41"/>
      <c r="P10" s="40"/>
      <c r="Q10" s="27" t="s">
        <v>35</v>
      </c>
      <c r="R10" s="27" t="s">
        <v>46</v>
      </c>
      <c r="S10" s="26" t="s">
        <v>36</v>
      </c>
    </row>
    <row r="11" spans="1:19" s="29" customFormat="1" ht="14.4" thickBot="1" x14ac:dyDescent="0.35">
      <c r="A11" s="28"/>
      <c r="B11" s="2" t="s">
        <v>1</v>
      </c>
      <c r="C11" s="2" t="s">
        <v>2</v>
      </c>
      <c r="D11" s="2" t="s">
        <v>1</v>
      </c>
      <c r="E11" s="2" t="s">
        <v>2</v>
      </c>
      <c r="F11" s="2" t="s">
        <v>1</v>
      </c>
      <c r="G11" s="2" t="s">
        <v>2</v>
      </c>
      <c r="H11" s="2" t="s">
        <v>1</v>
      </c>
      <c r="I11" s="2" t="s">
        <v>2</v>
      </c>
      <c r="J11" s="2" t="s">
        <v>1</v>
      </c>
      <c r="K11" s="2" t="s">
        <v>2</v>
      </c>
      <c r="L11" s="2" t="s">
        <v>1</v>
      </c>
      <c r="M11" s="2" t="s">
        <v>2</v>
      </c>
      <c r="N11" s="2" t="s">
        <v>1</v>
      </c>
      <c r="O11" s="2" t="s">
        <v>2</v>
      </c>
      <c r="P11" s="2" t="s">
        <v>3</v>
      </c>
    </row>
    <row r="12" spans="1:19" ht="14.4" thickBot="1" x14ac:dyDescent="0.35">
      <c r="A12" s="33" t="s">
        <v>4</v>
      </c>
      <c r="B12" s="12">
        <f>37785156-D12</f>
        <v>35974869.176040001</v>
      </c>
      <c r="C12" s="12">
        <f>(103981067-37785156)-E12</f>
        <v>63024464.90399</v>
      </c>
      <c r="D12" s="12">
        <f>37785156*R12</f>
        <v>1810286.82396</v>
      </c>
      <c r="E12" s="12">
        <f>(103981067-37785156)*R12</f>
        <v>3171446.09601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26">
        <f t="shared" ref="Q12:Q36" si="0">SUM(B12:P12)</f>
        <v>103981067</v>
      </c>
      <c r="R12" s="36">
        <v>4.7910000000000001E-2</v>
      </c>
    </row>
    <row r="13" spans="1:19" ht="14.4" thickBot="1" x14ac:dyDescent="0.35">
      <c r="A13" s="33" t="s">
        <v>5</v>
      </c>
      <c r="B13" s="6"/>
      <c r="C13" s="6"/>
      <c r="D13" s="6"/>
      <c r="E13" s="6"/>
      <c r="F13" s="2">
        <v>50751691.882754892</v>
      </c>
      <c r="G13" s="6"/>
      <c r="H13" s="5">
        <v>0</v>
      </c>
      <c r="I13" s="7"/>
      <c r="J13" s="6"/>
      <c r="K13" s="6"/>
      <c r="L13" s="6">
        <v>0</v>
      </c>
      <c r="M13" s="6"/>
      <c r="N13" s="6"/>
      <c r="O13" s="6"/>
      <c r="P13" s="6"/>
      <c r="Q13" s="26">
        <f t="shared" si="0"/>
        <v>50751691.882754892</v>
      </c>
      <c r="R13" s="26"/>
      <c r="S13" s="26" t="s">
        <v>38</v>
      </c>
    </row>
    <row r="14" spans="1:19" ht="14.4" thickBot="1" x14ac:dyDescent="0.35">
      <c r="A14" s="33" t="s">
        <v>6</v>
      </c>
      <c r="B14" s="12">
        <f>51913334-D14</f>
        <v>51724770.134379998</v>
      </c>
      <c r="C14" s="7"/>
      <c r="D14" s="12">
        <f>22912641*0.9*R14+29000693*R14</f>
        <v>188563.86562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26">
        <f t="shared" si="0"/>
        <v>51913334</v>
      </c>
      <c r="R14" s="35">
        <v>3.8E-3</v>
      </c>
      <c r="S14" s="26" t="s">
        <v>38</v>
      </c>
    </row>
    <row r="15" spans="1:19" ht="14.4" thickBot="1" x14ac:dyDescent="0.35">
      <c r="A15" s="33" t="s">
        <v>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1">
        <v>4945029</v>
      </c>
      <c r="N15" s="6"/>
      <c r="O15" s="6"/>
      <c r="P15" s="6"/>
      <c r="Q15" s="26">
        <f t="shared" si="0"/>
        <v>4945029</v>
      </c>
      <c r="R15" s="26"/>
      <c r="S15" s="26" t="s">
        <v>39</v>
      </c>
    </row>
    <row r="16" spans="1:19" ht="14.4" thickBot="1" x14ac:dyDescent="0.35">
      <c r="A16" s="33" t="s">
        <v>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1">
        <v>6166408.8491034899</v>
      </c>
      <c r="N16" s="6"/>
      <c r="O16" s="6"/>
      <c r="P16" s="6"/>
      <c r="Q16" s="26">
        <f t="shared" si="0"/>
        <v>6166408.8491034899</v>
      </c>
      <c r="R16" s="26"/>
      <c r="S16" s="26" t="s">
        <v>39</v>
      </c>
    </row>
    <row r="17" spans="1:19" ht="14.4" thickBot="1" x14ac:dyDescent="0.35">
      <c r="A17" s="33" t="s">
        <v>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1">
        <v>16755589.547506528</v>
      </c>
      <c r="N17" s="6"/>
      <c r="O17" s="6"/>
      <c r="P17" s="6"/>
      <c r="Q17" s="26">
        <f t="shared" si="0"/>
        <v>16755589.547506528</v>
      </c>
      <c r="R17" s="26"/>
      <c r="S17" s="26" t="s">
        <v>39</v>
      </c>
    </row>
    <row r="18" spans="1:19" ht="14.4" thickBot="1" x14ac:dyDescent="0.35">
      <c r="A18" s="33" t="s">
        <v>10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1">
        <v>8655391.764256401</v>
      </c>
      <c r="N18" s="6"/>
      <c r="O18" s="6"/>
      <c r="P18" s="6"/>
      <c r="Q18" s="26">
        <f t="shared" si="0"/>
        <v>8655391.764256401</v>
      </c>
      <c r="R18" s="26"/>
      <c r="S18" s="26" t="s">
        <v>39</v>
      </c>
    </row>
    <row r="19" spans="1:19" ht="27" thickBot="1" x14ac:dyDescent="0.35">
      <c r="A19" s="33" t="s">
        <v>11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1">
        <f>17339765-M15+9933059+2121296</f>
        <v>24449091</v>
      </c>
      <c r="N19" s="6"/>
      <c r="O19" s="6"/>
      <c r="P19" s="6"/>
      <c r="Q19" s="26">
        <f t="shared" si="0"/>
        <v>24449091</v>
      </c>
      <c r="R19" s="26"/>
      <c r="S19" s="26" t="s">
        <v>43</v>
      </c>
    </row>
    <row r="20" spans="1:19" ht="28.5" customHeight="1" thickBot="1" x14ac:dyDescent="0.35">
      <c r="A20" s="13" t="s">
        <v>12</v>
      </c>
      <c r="B20" s="2">
        <f>SUM(B12:B19)</f>
        <v>87699639.310420007</v>
      </c>
      <c r="C20" s="2">
        <f t="shared" ref="C20:P20" si="1">SUM(C12:C19)</f>
        <v>63024464.90399</v>
      </c>
      <c r="D20" s="2">
        <f t="shared" si="1"/>
        <v>1998850.68958</v>
      </c>
      <c r="E20" s="2">
        <f t="shared" si="1"/>
        <v>3171446.09601</v>
      </c>
      <c r="F20" s="2">
        <f t="shared" si="1"/>
        <v>50751691.882754892</v>
      </c>
      <c r="G20" s="2">
        <f t="shared" si="1"/>
        <v>0</v>
      </c>
      <c r="H20" s="2">
        <f t="shared" si="1"/>
        <v>0</v>
      </c>
      <c r="I20" s="2">
        <f t="shared" si="1"/>
        <v>0</v>
      </c>
      <c r="J20" s="2">
        <f t="shared" si="1"/>
        <v>0</v>
      </c>
      <c r="K20" s="2">
        <f t="shared" si="1"/>
        <v>0</v>
      </c>
      <c r="L20" s="2">
        <f t="shared" si="1"/>
        <v>0</v>
      </c>
      <c r="M20" s="1">
        <f t="shared" si="1"/>
        <v>60971510.160866417</v>
      </c>
      <c r="N20" s="2">
        <f t="shared" si="1"/>
        <v>0</v>
      </c>
      <c r="O20" s="2">
        <f t="shared" si="1"/>
        <v>0</v>
      </c>
      <c r="P20" s="2">
        <f t="shared" si="1"/>
        <v>0</v>
      </c>
      <c r="Q20" s="26"/>
      <c r="R20" s="26"/>
      <c r="S20" s="26"/>
    </row>
    <row r="21" spans="1:19" ht="14.4" thickBot="1" x14ac:dyDescent="0.35">
      <c r="A21" s="14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26">
        <f t="shared" si="0"/>
        <v>0</v>
      </c>
      <c r="R21" s="26"/>
      <c r="S21" s="26"/>
    </row>
    <row r="22" spans="1:19" ht="27" thickBot="1" x14ac:dyDescent="0.35">
      <c r="A22" s="33" t="s">
        <v>13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1">
        <v>25207428.06887871</v>
      </c>
      <c r="M22" s="6"/>
      <c r="N22" s="6"/>
      <c r="O22" s="6"/>
      <c r="P22" s="6"/>
      <c r="Q22" s="26">
        <f t="shared" si="0"/>
        <v>25207428.06887871</v>
      </c>
      <c r="R22" s="26"/>
      <c r="S22" s="26" t="s">
        <v>38</v>
      </c>
    </row>
    <row r="23" spans="1:19" ht="14.4" thickBot="1" x14ac:dyDescent="0.35">
      <c r="A23" s="33" t="s">
        <v>14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1">
        <v>31211081.751919001</v>
      </c>
      <c r="M23" s="6"/>
      <c r="N23" s="6"/>
      <c r="O23" s="6"/>
      <c r="P23" s="6"/>
      <c r="Q23" s="26">
        <f t="shared" si="0"/>
        <v>31211081.751919001</v>
      </c>
      <c r="R23" s="26"/>
      <c r="S23" s="26" t="s">
        <v>38</v>
      </c>
    </row>
    <row r="24" spans="1:19" ht="27" thickBot="1" x14ac:dyDescent="0.35">
      <c r="A24" s="33" t="s">
        <v>15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1">
        <v>12045113.583653228</v>
      </c>
      <c r="M24" s="6"/>
      <c r="N24" s="6"/>
      <c r="O24" s="6"/>
      <c r="P24" s="6"/>
      <c r="Q24" s="26">
        <f t="shared" si="0"/>
        <v>12045113.583653228</v>
      </c>
      <c r="R24" s="26"/>
      <c r="S24" s="26" t="s">
        <v>38</v>
      </c>
    </row>
    <row r="25" spans="1:19" ht="14.4" thickBot="1" x14ac:dyDescent="0.35">
      <c r="A25" s="33" t="s">
        <v>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1">
        <v>447046.24962749076</v>
      </c>
      <c r="M25" s="6"/>
      <c r="N25" s="6"/>
      <c r="O25" s="6"/>
      <c r="P25" s="6"/>
      <c r="Q25" s="26">
        <f t="shared" si="0"/>
        <v>447046.24962749076</v>
      </c>
      <c r="R25" s="26"/>
      <c r="S25" s="26" t="s">
        <v>38</v>
      </c>
    </row>
    <row r="26" spans="1:19" ht="40.200000000000003" thickBot="1" x14ac:dyDescent="0.35">
      <c r="A26" s="13" t="s">
        <v>16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2">
        <f>SUM(L22:L25)</f>
        <v>68910669.654078424</v>
      </c>
      <c r="M26" s="6"/>
      <c r="N26" s="6"/>
      <c r="O26" s="6"/>
      <c r="P26" s="6"/>
      <c r="Q26" s="26"/>
      <c r="R26" s="26"/>
      <c r="S26" s="26"/>
    </row>
    <row r="27" spans="1:19" ht="14.4" thickBot="1" x14ac:dyDescent="0.35">
      <c r="A27" s="14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26">
        <f t="shared" si="0"/>
        <v>0</v>
      </c>
      <c r="R27" s="26"/>
      <c r="S27" s="26"/>
    </row>
    <row r="28" spans="1:19" ht="27" thickBot="1" x14ac:dyDescent="0.35">
      <c r="A28" s="13" t="s">
        <v>17</v>
      </c>
      <c r="B28" s="6"/>
      <c r="C28" s="2">
        <v>53067542.465695582</v>
      </c>
      <c r="D28" s="6"/>
      <c r="E28" s="20">
        <v>865802</v>
      </c>
      <c r="F28" s="6"/>
      <c r="G28" s="6"/>
      <c r="H28" s="6"/>
      <c r="I28" s="6"/>
      <c r="J28" s="6"/>
      <c r="K28" s="6"/>
      <c r="L28" s="6"/>
      <c r="M28" s="6"/>
      <c r="N28" s="7"/>
      <c r="O28" s="20">
        <v>1500000</v>
      </c>
      <c r="P28" s="7"/>
      <c r="Q28" s="26">
        <f t="shared" si="0"/>
        <v>55433344.465695582</v>
      </c>
      <c r="R28" s="26"/>
      <c r="S28" s="26" t="s">
        <v>40</v>
      </c>
    </row>
    <row r="29" spans="1:19" ht="14.4" thickBot="1" x14ac:dyDescent="0.35">
      <c r="A29" s="14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26">
        <f t="shared" si="0"/>
        <v>0</v>
      </c>
      <c r="R29" s="26"/>
      <c r="S29" s="26"/>
    </row>
    <row r="30" spans="1:19" ht="40.200000000000003" thickBot="1" x14ac:dyDescent="0.35">
      <c r="A30" s="33" t="s">
        <v>18</v>
      </c>
      <c r="B30" s="6"/>
      <c r="C30" s="6"/>
      <c r="D30" s="6"/>
      <c r="E30" s="6"/>
      <c r="F30" s="1">
        <v>14431259.204630777</v>
      </c>
      <c r="G30" s="6"/>
      <c r="H30" s="8">
        <v>0</v>
      </c>
      <c r="I30" s="6"/>
      <c r="J30" s="6"/>
      <c r="K30" s="6"/>
      <c r="L30" s="6"/>
      <c r="M30" s="6"/>
      <c r="N30" s="6"/>
      <c r="O30" s="6"/>
      <c r="P30" s="6"/>
      <c r="Q30" s="26">
        <f t="shared" si="0"/>
        <v>14431259.204630777</v>
      </c>
      <c r="R30" s="26"/>
      <c r="S30" s="26" t="s">
        <v>38</v>
      </c>
    </row>
    <row r="31" spans="1:19" ht="40.200000000000003" thickBot="1" x14ac:dyDescent="0.35">
      <c r="A31" s="33" t="s">
        <v>19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2">
        <v>6284431.4672702244</v>
      </c>
      <c r="M31" s="6"/>
      <c r="N31" s="6"/>
      <c r="O31" s="6"/>
      <c r="P31" s="6"/>
      <c r="Q31" s="26">
        <f t="shared" si="0"/>
        <v>6284431.4672702244</v>
      </c>
      <c r="R31" s="26"/>
      <c r="S31" s="26" t="s">
        <v>38</v>
      </c>
    </row>
    <row r="32" spans="1:19" ht="32.25" customHeight="1" thickBot="1" x14ac:dyDescent="0.35">
      <c r="A32" s="33" t="s">
        <v>20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3">
        <f>205853613-F30-L31-M35</f>
        <v>21065385.328098983</v>
      </c>
      <c r="M32" s="10"/>
      <c r="N32" s="10"/>
      <c r="O32" s="10"/>
      <c r="P32" s="10"/>
      <c r="Q32" s="26">
        <f t="shared" si="0"/>
        <v>21065385.328098983</v>
      </c>
      <c r="R32" s="26"/>
      <c r="S32" s="26" t="s">
        <v>38</v>
      </c>
    </row>
    <row r="33" spans="1:22" ht="66.599999999999994" thickBot="1" x14ac:dyDescent="0.35">
      <c r="A33" s="13" t="s">
        <v>21</v>
      </c>
      <c r="B33" s="10"/>
      <c r="C33" s="10"/>
      <c r="D33" s="10"/>
      <c r="E33" s="10"/>
      <c r="F33" s="18">
        <f>SUM(F30:F32)</f>
        <v>14431259.204630777</v>
      </c>
      <c r="G33" s="10"/>
      <c r="H33" s="10"/>
      <c r="I33" s="10"/>
      <c r="J33" s="10"/>
      <c r="K33" s="10"/>
      <c r="L33" s="18">
        <f>SUM(L30:L32)</f>
        <v>27349816.795369208</v>
      </c>
      <c r="M33" s="10"/>
      <c r="N33" s="10"/>
      <c r="O33" s="10"/>
      <c r="P33" s="10"/>
      <c r="Q33" s="26"/>
      <c r="R33" s="26"/>
      <c r="S33" s="26"/>
    </row>
    <row r="34" spans="1:22" ht="14.4" thickBot="1" x14ac:dyDescent="0.35">
      <c r="A34" s="15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26">
        <f t="shared" si="0"/>
        <v>0</v>
      </c>
      <c r="R34" s="26"/>
      <c r="S34" s="26"/>
    </row>
    <row r="35" spans="1:22" ht="14.4" thickBot="1" x14ac:dyDescent="0.35">
      <c r="A35" s="13" t="s">
        <v>22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8">
        <v>164072537</v>
      </c>
      <c r="N35" s="10"/>
      <c r="O35" s="10"/>
      <c r="P35" s="10"/>
      <c r="Q35" s="26">
        <f>SUM(B35:P35)</f>
        <v>164072537</v>
      </c>
      <c r="R35" s="26"/>
      <c r="S35" s="26" t="s">
        <v>40</v>
      </c>
    </row>
    <row r="36" spans="1:22" ht="14.4" thickBot="1" x14ac:dyDescent="0.35">
      <c r="A36" s="14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26">
        <f t="shared" si="0"/>
        <v>0</v>
      </c>
      <c r="R36" s="26"/>
      <c r="S36" s="26"/>
    </row>
    <row r="37" spans="1:22" s="24" customFormat="1" ht="27" thickBot="1" x14ac:dyDescent="0.35">
      <c r="A37" s="16" t="s">
        <v>41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4">
        <f>30931020.4239354+2546412+8633457-9933059+1290228+3646503+193211</f>
        <v>37307772.423935398</v>
      </c>
      <c r="N37" s="19"/>
      <c r="O37" s="19"/>
      <c r="P37" s="20">
        <f>3000000-200000-250000</f>
        <v>2550000</v>
      </c>
      <c r="Q37" s="26">
        <f>SUM(B37:P37)</f>
        <v>39857772.423935398</v>
      </c>
      <c r="R37" s="26"/>
      <c r="S37" s="30" t="s">
        <v>44</v>
      </c>
    </row>
    <row r="38" spans="1:22" ht="27" thickBot="1" x14ac:dyDescent="0.35">
      <c r="A38" s="17" t="s">
        <v>23</v>
      </c>
      <c r="B38" s="18">
        <f>+B37+B35+B33+B28+B26+B20</f>
        <v>87699639.310420007</v>
      </c>
      <c r="C38" s="18">
        <f t="shared" ref="C38:P38" si="2">+C37+C35+C33+C28+C26+C20</f>
        <v>116092007.36968559</v>
      </c>
      <c r="D38" s="18">
        <f t="shared" si="2"/>
        <v>1998850.68958</v>
      </c>
      <c r="E38" s="18">
        <f t="shared" si="2"/>
        <v>4037248.09601</v>
      </c>
      <c r="F38" s="18">
        <f t="shared" si="2"/>
        <v>65182951.087385669</v>
      </c>
      <c r="G38" s="18">
        <f t="shared" si="2"/>
        <v>0</v>
      </c>
      <c r="H38" s="18">
        <f t="shared" si="2"/>
        <v>0</v>
      </c>
      <c r="I38" s="18">
        <f t="shared" si="2"/>
        <v>0</v>
      </c>
      <c r="J38" s="18">
        <f t="shared" si="2"/>
        <v>0</v>
      </c>
      <c r="K38" s="18">
        <f t="shared" si="2"/>
        <v>0</v>
      </c>
      <c r="L38" s="18">
        <f t="shared" si="2"/>
        <v>96260486.449447632</v>
      </c>
      <c r="M38" s="18">
        <f t="shared" si="2"/>
        <v>262351819.58480182</v>
      </c>
      <c r="N38" s="18">
        <f t="shared" si="2"/>
        <v>0</v>
      </c>
      <c r="O38" s="18">
        <f t="shared" si="2"/>
        <v>1500000</v>
      </c>
      <c r="P38" s="18">
        <f t="shared" si="2"/>
        <v>2550000</v>
      </c>
      <c r="Q38" s="26">
        <f>SUM(B38:P38)</f>
        <v>637673002.5873307</v>
      </c>
      <c r="R38" s="26"/>
      <c r="S38" s="26"/>
    </row>
    <row r="40" spans="1:22" x14ac:dyDescent="0.3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31"/>
      <c r="Q40" s="31"/>
      <c r="R40" s="26"/>
      <c r="S40" s="26"/>
      <c r="T40" s="26"/>
      <c r="U40" s="26"/>
      <c r="V40" s="26"/>
    </row>
    <row r="41" spans="1:22" x14ac:dyDescent="0.3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R41" s="34"/>
      <c r="S41" s="34"/>
      <c r="T41" s="34"/>
      <c r="U41" s="34"/>
      <c r="V41" s="34"/>
    </row>
    <row r="42" spans="1:22" x14ac:dyDescent="0.3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R42" s="26"/>
      <c r="S42" s="26"/>
      <c r="T42" s="26"/>
      <c r="U42" s="26"/>
      <c r="V42" s="26"/>
    </row>
    <row r="43" spans="1:22" x14ac:dyDescent="0.3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R43" s="26"/>
      <c r="S43" s="26"/>
      <c r="T43" s="26"/>
      <c r="U43" s="26"/>
      <c r="V43" s="26"/>
    </row>
    <row r="44" spans="1:22" x14ac:dyDescent="0.3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R44" s="26"/>
      <c r="S44" s="26"/>
      <c r="T44" s="26"/>
      <c r="U44" s="26"/>
      <c r="V44" s="26"/>
    </row>
    <row r="45" spans="1:22" x14ac:dyDescent="0.3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R45" s="34"/>
      <c r="S45" s="34"/>
      <c r="T45" s="34"/>
      <c r="U45" s="34"/>
      <c r="V45" s="34"/>
    </row>
    <row r="46" spans="1:22" x14ac:dyDescent="0.3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22" x14ac:dyDescent="0.3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22" x14ac:dyDescent="0.3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</row>
    <row r="49" spans="2:15" x14ac:dyDescent="0.3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2:15" x14ac:dyDescent="0.3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</row>
    <row r="51" spans="2:15" x14ac:dyDescent="0.3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x14ac:dyDescent="0.3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</row>
  </sheetData>
  <mergeCells count="21">
    <mergeCell ref="A8:A10"/>
    <mergeCell ref="B8:C10"/>
    <mergeCell ref="D8:E10"/>
    <mergeCell ref="F8:G10"/>
    <mergeCell ref="H8:I8"/>
    <mergeCell ref="H10:I10"/>
    <mergeCell ref="H9:I9"/>
    <mergeCell ref="A5:A7"/>
    <mergeCell ref="B5:E7"/>
    <mergeCell ref="F5:K7"/>
    <mergeCell ref="L5:M7"/>
    <mergeCell ref="N5:P7"/>
    <mergeCell ref="J10:K10"/>
    <mergeCell ref="L10:M10"/>
    <mergeCell ref="N10:P10"/>
    <mergeCell ref="J8:K8"/>
    <mergeCell ref="L8:M8"/>
    <mergeCell ref="N8:P8"/>
    <mergeCell ref="J9:K9"/>
    <mergeCell ref="L9:M9"/>
    <mergeCell ref="N9:P9"/>
  </mergeCells>
  <pageMargins left="0.17" right="0.19" top="0.51" bottom="0.6" header="0.3" footer="0.3"/>
  <pageSetup paperSize="5" scale="61" orientation="landscape" r:id="rId1"/>
  <headerFooter>
    <oddFooter>&amp;R&amp;9&amp;Z&amp;F&amp;A
&amp;T&amp;D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40"/>
  <sheetViews>
    <sheetView tabSelected="1" zoomScale="85" zoomScaleNormal="85" workbookViewId="0">
      <selection activeCell="D14" sqref="D14"/>
    </sheetView>
  </sheetViews>
  <sheetFormatPr defaultColWidth="9.109375" defaultRowHeight="13.8" x14ac:dyDescent="0.3"/>
  <cols>
    <col min="1" max="1" width="10.88671875" style="23" customWidth="1"/>
    <col min="2" max="2" width="14.33203125" style="22" bestFit="1" customWidth="1"/>
    <col min="3" max="3" width="15" style="22" bestFit="1" customWidth="1"/>
    <col min="4" max="4" width="11.33203125" style="22" bestFit="1" customWidth="1"/>
    <col min="5" max="5" width="11" style="22" customWidth="1"/>
    <col min="6" max="6" width="13.44140625" style="22" customWidth="1"/>
    <col min="7" max="7" width="9.109375" style="22"/>
    <col min="8" max="8" width="9.88671875" style="22" bestFit="1" customWidth="1"/>
    <col min="9" max="11" width="9.109375" style="22"/>
    <col min="12" max="12" width="12.33203125" style="22" bestFit="1" customWidth="1"/>
    <col min="13" max="13" width="15" style="22" bestFit="1" customWidth="1"/>
    <col min="14" max="14" width="13.44140625" style="22" bestFit="1" customWidth="1"/>
    <col min="15" max="15" width="11.5546875" style="22" bestFit="1" customWidth="1"/>
    <col min="16" max="16" width="12.5546875" style="22" bestFit="1" customWidth="1"/>
    <col min="17" max="17" width="13.44140625" style="22" bestFit="1" customWidth="1"/>
    <col min="18" max="18" width="8.33203125" style="22" customWidth="1"/>
    <col min="19" max="19" width="11.5546875" style="22" bestFit="1" customWidth="1"/>
    <col min="20" max="20" width="9.109375" style="22"/>
    <col min="21" max="21" width="12.5546875" style="22" bestFit="1" customWidth="1"/>
    <col min="22" max="16384" width="9.109375" style="22"/>
  </cols>
  <sheetData>
    <row r="1" spans="1:19" ht="12.75" x14ac:dyDescent="0.2">
      <c r="A1" s="21" t="s">
        <v>37</v>
      </c>
    </row>
    <row r="2" spans="1:19" x14ac:dyDescent="0.3">
      <c r="C2" s="24"/>
      <c r="D2" s="24"/>
    </row>
    <row r="4" spans="1:19" s="26" customFormat="1" ht="14.4" thickBot="1" x14ac:dyDescent="0.35">
      <c r="A4" s="25">
        <v>2017</v>
      </c>
      <c r="C4" s="32"/>
    </row>
    <row r="5" spans="1:19" s="26" customFormat="1" x14ac:dyDescent="0.3">
      <c r="A5" s="50"/>
      <c r="B5" s="53" t="s">
        <v>27</v>
      </c>
      <c r="C5" s="54"/>
      <c r="D5" s="54"/>
      <c r="E5" s="55"/>
      <c r="F5" s="53" t="s">
        <v>28</v>
      </c>
      <c r="G5" s="54"/>
      <c r="H5" s="54"/>
      <c r="I5" s="54"/>
      <c r="J5" s="54"/>
      <c r="K5" s="55"/>
      <c r="L5" s="53" t="s">
        <v>29</v>
      </c>
      <c r="M5" s="55"/>
      <c r="N5" s="53" t="s">
        <v>33</v>
      </c>
      <c r="O5" s="54"/>
      <c r="P5" s="55"/>
    </row>
    <row r="6" spans="1:19" s="26" customFormat="1" x14ac:dyDescent="0.3">
      <c r="A6" s="51"/>
      <c r="B6" s="44"/>
      <c r="C6" s="56"/>
      <c r="D6" s="56"/>
      <c r="E6" s="45"/>
      <c r="F6" s="44"/>
      <c r="G6" s="56"/>
      <c r="H6" s="56"/>
      <c r="I6" s="56"/>
      <c r="J6" s="56"/>
      <c r="K6" s="45"/>
      <c r="L6" s="44"/>
      <c r="M6" s="45"/>
      <c r="N6" s="44"/>
      <c r="O6" s="56"/>
      <c r="P6" s="45"/>
    </row>
    <row r="7" spans="1:19" s="26" customFormat="1" ht="14.25" customHeight="1" thickBot="1" x14ac:dyDescent="0.35">
      <c r="A7" s="52"/>
      <c r="B7" s="57"/>
      <c r="C7" s="58"/>
      <c r="D7" s="58"/>
      <c r="E7" s="59"/>
      <c r="F7" s="57"/>
      <c r="G7" s="58"/>
      <c r="H7" s="58"/>
      <c r="I7" s="58"/>
      <c r="J7" s="58"/>
      <c r="K7" s="59"/>
      <c r="L7" s="44"/>
      <c r="M7" s="45"/>
      <c r="N7" s="44"/>
      <c r="O7" s="56"/>
      <c r="P7" s="45"/>
    </row>
    <row r="8" spans="1:19" s="26" customFormat="1" x14ac:dyDescent="0.3">
      <c r="A8" s="51"/>
      <c r="B8" s="42" t="s">
        <v>24</v>
      </c>
      <c r="C8" s="43"/>
      <c r="D8" s="42" t="s">
        <v>30</v>
      </c>
      <c r="E8" s="43"/>
      <c r="F8" s="42" t="s">
        <v>24</v>
      </c>
      <c r="G8" s="43"/>
      <c r="H8" s="42" t="s">
        <v>25</v>
      </c>
      <c r="I8" s="43"/>
      <c r="J8" s="42" t="s">
        <v>0</v>
      </c>
      <c r="K8" s="43"/>
      <c r="L8" s="44"/>
      <c r="M8" s="45"/>
      <c r="N8" s="46"/>
      <c r="O8" s="47"/>
      <c r="P8" s="48"/>
    </row>
    <row r="9" spans="1:19" s="26" customFormat="1" x14ac:dyDescent="0.3">
      <c r="A9" s="51"/>
      <c r="B9" s="42"/>
      <c r="C9" s="43"/>
      <c r="D9" s="42"/>
      <c r="E9" s="43"/>
      <c r="F9" s="42"/>
      <c r="G9" s="43"/>
      <c r="H9" s="42" t="s">
        <v>26</v>
      </c>
      <c r="I9" s="43"/>
      <c r="J9" s="42" t="s">
        <v>31</v>
      </c>
      <c r="K9" s="43"/>
      <c r="L9" s="46"/>
      <c r="M9" s="48"/>
      <c r="N9" s="46"/>
      <c r="O9" s="49"/>
      <c r="P9" s="48"/>
      <c r="Q9" s="27" t="s">
        <v>34</v>
      </c>
      <c r="R9" s="27"/>
    </row>
    <row r="10" spans="1:19" s="26" customFormat="1" ht="14.4" thickBot="1" x14ac:dyDescent="0.35">
      <c r="A10" s="52"/>
      <c r="B10" s="37"/>
      <c r="C10" s="38"/>
      <c r="D10" s="37"/>
      <c r="E10" s="38"/>
      <c r="F10" s="37"/>
      <c r="G10" s="38"/>
      <c r="H10" s="39"/>
      <c r="I10" s="40"/>
      <c r="J10" s="37" t="s">
        <v>32</v>
      </c>
      <c r="K10" s="38"/>
      <c r="L10" s="39"/>
      <c r="M10" s="40"/>
      <c r="N10" s="39"/>
      <c r="O10" s="41"/>
      <c r="P10" s="40"/>
      <c r="Q10" s="27" t="s">
        <v>35</v>
      </c>
      <c r="R10" s="27" t="s">
        <v>45</v>
      </c>
      <c r="S10" s="26" t="s">
        <v>36</v>
      </c>
    </row>
    <row r="11" spans="1:19" s="29" customFormat="1" ht="14.4" thickBot="1" x14ac:dyDescent="0.35">
      <c r="A11" s="28"/>
      <c r="B11" s="2" t="s">
        <v>1</v>
      </c>
      <c r="C11" s="2" t="s">
        <v>2</v>
      </c>
      <c r="D11" s="2" t="s">
        <v>1</v>
      </c>
      <c r="E11" s="2" t="s">
        <v>2</v>
      </c>
      <c r="F11" s="2" t="s">
        <v>1</v>
      </c>
      <c r="G11" s="2" t="s">
        <v>2</v>
      </c>
      <c r="H11" s="2" t="s">
        <v>1</v>
      </c>
      <c r="I11" s="2" t="s">
        <v>2</v>
      </c>
      <c r="J11" s="2" t="s">
        <v>1</v>
      </c>
      <c r="K11" s="2" t="s">
        <v>2</v>
      </c>
      <c r="L11" s="2" t="s">
        <v>1</v>
      </c>
      <c r="M11" s="2" t="s">
        <v>2</v>
      </c>
      <c r="N11" s="2" t="s">
        <v>1</v>
      </c>
      <c r="O11" s="2" t="s">
        <v>2</v>
      </c>
      <c r="P11" s="2" t="s">
        <v>3</v>
      </c>
    </row>
    <row r="12" spans="1:19" ht="14.4" thickBot="1" x14ac:dyDescent="0.35">
      <c r="A12" s="33" t="s">
        <v>4</v>
      </c>
      <c r="B12" s="12">
        <f>42726745-D12</f>
        <v>40929337.654712498</v>
      </c>
      <c r="C12" s="12">
        <f>75131046-E12</f>
        <v>71970470.722395003</v>
      </c>
      <c r="D12" s="12">
        <f>42726745*R12</f>
        <v>1797407.3452874997</v>
      </c>
      <c r="E12" s="12">
        <f>75131046*R12</f>
        <v>3160575.2776049995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26">
        <f t="shared" ref="Q12:Q36" si="0">SUM(B12:P12)</f>
        <v>117857791</v>
      </c>
      <c r="R12" s="36">
        <v>4.2067499999999994E-2</v>
      </c>
    </row>
    <row r="13" spans="1:19" ht="14.4" thickBot="1" x14ac:dyDescent="0.35">
      <c r="A13" s="33" t="s">
        <v>5</v>
      </c>
      <c r="B13" s="6"/>
      <c r="C13" s="6"/>
      <c r="D13" s="6"/>
      <c r="E13" s="6"/>
      <c r="F13" s="2">
        <v>55762545.335452765</v>
      </c>
      <c r="G13" s="6"/>
      <c r="H13" s="5">
        <v>0</v>
      </c>
      <c r="I13" s="7"/>
      <c r="J13" s="6"/>
      <c r="K13" s="6"/>
      <c r="L13" s="6">
        <v>0</v>
      </c>
      <c r="M13" s="6"/>
      <c r="N13" s="6"/>
      <c r="O13" s="6"/>
      <c r="P13" s="6"/>
      <c r="Q13" s="26">
        <f t="shared" si="0"/>
        <v>55762545.335452765</v>
      </c>
      <c r="R13" s="26"/>
      <c r="S13" s="26" t="s">
        <v>38</v>
      </c>
    </row>
    <row r="14" spans="1:19" ht="14.4" thickBot="1" x14ac:dyDescent="0.35">
      <c r="A14" s="33" t="s">
        <v>6</v>
      </c>
      <c r="B14" s="12">
        <f>26102438+22732870-D14</f>
        <v>48588529.288699999</v>
      </c>
      <c r="C14" s="7"/>
      <c r="D14" s="12">
        <f>22732870*0.9*R14+26102438*R14</f>
        <v>246778.7113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26">
        <f t="shared" si="0"/>
        <v>48835308</v>
      </c>
      <c r="R14" s="35">
        <v>5.3E-3</v>
      </c>
      <c r="S14" s="26" t="s">
        <v>38</v>
      </c>
    </row>
    <row r="15" spans="1:19" ht="14.4" thickBot="1" x14ac:dyDescent="0.35">
      <c r="A15" s="33" t="s">
        <v>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1">
        <v>4508479.9668514291</v>
      </c>
      <c r="N15" s="6"/>
      <c r="O15" s="6"/>
      <c r="P15" s="6"/>
      <c r="Q15" s="26">
        <f t="shared" si="0"/>
        <v>4508479.9668514291</v>
      </c>
      <c r="R15" s="26"/>
      <c r="S15" s="26" t="s">
        <v>39</v>
      </c>
    </row>
    <row r="16" spans="1:19" ht="14.4" thickBot="1" x14ac:dyDescent="0.35">
      <c r="A16" s="33" t="s">
        <v>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1">
        <v>5774215.8524134448</v>
      </c>
      <c r="N16" s="6"/>
      <c r="O16" s="6"/>
      <c r="P16" s="6"/>
      <c r="Q16" s="26">
        <f t="shared" si="0"/>
        <v>5774215.8524134448</v>
      </c>
      <c r="R16" s="26"/>
      <c r="S16" s="26" t="s">
        <v>39</v>
      </c>
    </row>
    <row r="17" spans="1:19" ht="14.4" thickBot="1" x14ac:dyDescent="0.35">
      <c r="A17" s="33" t="s">
        <v>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1">
        <v>17197073.397720024</v>
      </c>
      <c r="N17" s="6"/>
      <c r="O17" s="6"/>
      <c r="P17" s="6"/>
      <c r="Q17" s="26">
        <f t="shared" si="0"/>
        <v>17197073.397720024</v>
      </c>
      <c r="R17" s="26"/>
      <c r="S17" s="26" t="s">
        <v>39</v>
      </c>
    </row>
    <row r="18" spans="1:19" ht="14.4" thickBot="1" x14ac:dyDescent="0.35">
      <c r="A18" s="33" t="s">
        <v>10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1">
        <v>8345972.3033811525</v>
      </c>
      <c r="N18" s="6"/>
      <c r="O18" s="6"/>
      <c r="P18" s="6"/>
      <c r="Q18" s="26">
        <f t="shared" si="0"/>
        <v>8345972.3033811525</v>
      </c>
      <c r="R18" s="26"/>
      <c r="S18" s="26" t="s">
        <v>39</v>
      </c>
    </row>
    <row r="19" spans="1:19" ht="27" thickBot="1" x14ac:dyDescent="0.35">
      <c r="A19" s="33" t="s">
        <v>11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1">
        <f>23972692.3894411-M15+1810434</f>
        <v>21274646.422589671</v>
      </c>
      <c r="N19" s="6"/>
      <c r="O19" s="6"/>
      <c r="P19" s="6"/>
      <c r="Q19" s="26">
        <f t="shared" si="0"/>
        <v>21274646.422589671</v>
      </c>
      <c r="R19" s="26"/>
      <c r="S19" s="26" t="s">
        <v>39</v>
      </c>
    </row>
    <row r="20" spans="1:19" ht="28.5" customHeight="1" thickBot="1" x14ac:dyDescent="0.35">
      <c r="A20" s="13" t="s">
        <v>12</v>
      </c>
      <c r="B20" s="2">
        <f>SUM(B12:B19)</f>
        <v>89517866.943412498</v>
      </c>
      <c r="C20" s="2">
        <f t="shared" ref="C20:P20" si="1">SUM(C12:C19)</f>
        <v>71970470.722395003</v>
      </c>
      <c r="D20" s="2">
        <f t="shared" si="1"/>
        <v>2044186.0565874998</v>
      </c>
      <c r="E20" s="2">
        <f t="shared" si="1"/>
        <v>3160575.2776049995</v>
      </c>
      <c r="F20" s="2">
        <f t="shared" si="1"/>
        <v>55762545.335452765</v>
      </c>
      <c r="G20" s="2">
        <f t="shared" si="1"/>
        <v>0</v>
      </c>
      <c r="H20" s="2">
        <f t="shared" si="1"/>
        <v>0</v>
      </c>
      <c r="I20" s="2">
        <f t="shared" si="1"/>
        <v>0</v>
      </c>
      <c r="J20" s="2">
        <f t="shared" si="1"/>
        <v>0</v>
      </c>
      <c r="K20" s="2">
        <f t="shared" si="1"/>
        <v>0</v>
      </c>
      <c r="L20" s="2">
        <f t="shared" si="1"/>
        <v>0</v>
      </c>
      <c r="M20" s="2">
        <f t="shared" si="1"/>
        <v>57100387.942955717</v>
      </c>
      <c r="N20" s="2">
        <f t="shared" si="1"/>
        <v>0</v>
      </c>
      <c r="O20" s="2">
        <f t="shared" si="1"/>
        <v>0</v>
      </c>
      <c r="P20" s="2">
        <f t="shared" si="1"/>
        <v>0</v>
      </c>
      <c r="Q20" s="26"/>
      <c r="R20" s="26"/>
      <c r="S20" s="26"/>
    </row>
    <row r="21" spans="1:19" ht="14.4" thickBot="1" x14ac:dyDescent="0.35">
      <c r="A21" s="14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26">
        <f t="shared" si="0"/>
        <v>0</v>
      </c>
      <c r="R21" s="26"/>
      <c r="S21" s="26"/>
    </row>
    <row r="22" spans="1:19" ht="27" thickBot="1" x14ac:dyDescent="0.35">
      <c r="A22" s="33" t="s">
        <v>13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1">
        <v>30283180.28846994</v>
      </c>
      <c r="M22" s="6"/>
      <c r="N22" s="6"/>
      <c r="O22" s="6"/>
      <c r="P22" s="6"/>
      <c r="Q22" s="26">
        <f t="shared" si="0"/>
        <v>30283180.28846994</v>
      </c>
      <c r="R22" s="26"/>
      <c r="S22" s="26" t="s">
        <v>38</v>
      </c>
    </row>
    <row r="23" spans="1:19" ht="14.4" thickBot="1" x14ac:dyDescent="0.35">
      <c r="A23" s="33" t="s">
        <v>14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1">
        <v>30924291.993004344</v>
      </c>
      <c r="M23" s="6"/>
      <c r="N23" s="6"/>
      <c r="O23" s="6"/>
      <c r="P23" s="6"/>
      <c r="Q23" s="26">
        <f t="shared" si="0"/>
        <v>30924291.993004344</v>
      </c>
      <c r="R23" s="26"/>
      <c r="S23" s="26" t="s">
        <v>38</v>
      </c>
    </row>
    <row r="24" spans="1:19" ht="27" thickBot="1" x14ac:dyDescent="0.35">
      <c r="A24" s="33" t="s">
        <v>15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1">
        <v>13904741.934783854</v>
      </c>
      <c r="M24" s="6"/>
      <c r="N24" s="6"/>
      <c r="O24" s="6"/>
      <c r="P24" s="6"/>
      <c r="Q24" s="26">
        <f t="shared" si="0"/>
        <v>13904741.934783854</v>
      </c>
      <c r="R24" s="26"/>
      <c r="S24" s="26" t="s">
        <v>38</v>
      </c>
    </row>
    <row r="25" spans="1:19" ht="14.4" thickBot="1" x14ac:dyDescent="0.35">
      <c r="A25" s="33" t="s">
        <v>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1">
        <v>1501398.9465841483</v>
      </c>
      <c r="M25" s="6"/>
      <c r="N25" s="6"/>
      <c r="O25" s="6"/>
      <c r="P25" s="6"/>
      <c r="Q25" s="26">
        <f t="shared" si="0"/>
        <v>1501398.9465841483</v>
      </c>
      <c r="R25" s="26"/>
      <c r="S25" s="26" t="s">
        <v>38</v>
      </c>
    </row>
    <row r="26" spans="1:19" ht="40.200000000000003" thickBot="1" x14ac:dyDescent="0.35">
      <c r="A26" s="13" t="s">
        <v>16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2">
        <f>SUM(L22:L25)</f>
        <v>76613613.162842289</v>
      </c>
      <c r="M26" s="6"/>
      <c r="N26" s="6"/>
      <c r="O26" s="6"/>
      <c r="P26" s="6"/>
      <c r="Q26" s="26"/>
      <c r="R26" s="26"/>
      <c r="S26" s="26"/>
    </row>
    <row r="27" spans="1:19" ht="14.4" thickBot="1" x14ac:dyDescent="0.35">
      <c r="A27" s="14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26">
        <f t="shared" si="0"/>
        <v>0</v>
      </c>
      <c r="R27" s="26"/>
      <c r="S27" s="26"/>
    </row>
    <row r="28" spans="1:19" ht="27" thickBot="1" x14ac:dyDescent="0.35">
      <c r="A28" s="13" t="s">
        <v>17</v>
      </c>
      <c r="B28" s="6"/>
      <c r="C28" s="2">
        <v>55694299.115885034</v>
      </c>
      <c r="D28" s="6"/>
      <c r="E28" s="20">
        <v>2516352.7830000008</v>
      </c>
      <c r="F28" s="6"/>
      <c r="G28" s="6"/>
      <c r="H28" s="6"/>
      <c r="I28" s="6"/>
      <c r="J28" s="6"/>
      <c r="K28" s="6"/>
      <c r="L28" s="6"/>
      <c r="M28" s="6"/>
      <c r="N28" s="7"/>
      <c r="O28" s="20">
        <v>1500000</v>
      </c>
      <c r="P28" s="7"/>
      <c r="Q28" s="26">
        <f t="shared" si="0"/>
        <v>59710651.898885034</v>
      </c>
      <c r="R28" s="26"/>
      <c r="S28" s="26" t="s">
        <v>40</v>
      </c>
    </row>
    <row r="29" spans="1:19" ht="14.4" thickBot="1" x14ac:dyDescent="0.35">
      <c r="A29" s="14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26">
        <f t="shared" si="0"/>
        <v>0</v>
      </c>
      <c r="R29" s="26"/>
      <c r="S29" s="26"/>
    </row>
    <row r="30" spans="1:19" ht="40.200000000000003" thickBot="1" x14ac:dyDescent="0.35">
      <c r="A30" s="33" t="s">
        <v>18</v>
      </c>
      <c r="B30" s="6"/>
      <c r="C30" s="6"/>
      <c r="D30" s="6"/>
      <c r="E30" s="6"/>
      <c r="F30" s="2">
        <v>13783081.656840662</v>
      </c>
      <c r="G30" s="6"/>
      <c r="H30" s="8">
        <v>0</v>
      </c>
      <c r="I30" s="6"/>
      <c r="J30" s="6"/>
      <c r="K30" s="6"/>
      <c r="L30" s="6"/>
      <c r="M30" s="6"/>
      <c r="N30" s="6"/>
      <c r="O30" s="6"/>
      <c r="P30" s="6"/>
      <c r="Q30" s="26">
        <f t="shared" si="0"/>
        <v>13783081.656840662</v>
      </c>
      <c r="R30" s="26"/>
      <c r="S30" s="26" t="s">
        <v>38</v>
      </c>
    </row>
    <row r="31" spans="1:19" ht="40.200000000000003" thickBot="1" x14ac:dyDescent="0.35">
      <c r="A31" s="33" t="s">
        <v>19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2">
        <v>5777999.6963409241</v>
      </c>
      <c r="M31" s="6"/>
      <c r="N31" s="6"/>
      <c r="O31" s="6"/>
      <c r="P31" s="6"/>
      <c r="Q31" s="26">
        <f t="shared" si="0"/>
        <v>5777999.6963409241</v>
      </c>
      <c r="R31" s="26"/>
      <c r="S31" s="26" t="s">
        <v>38</v>
      </c>
    </row>
    <row r="32" spans="1:19" ht="32.25" customHeight="1" thickBot="1" x14ac:dyDescent="0.35">
      <c r="A32" s="33" t="s">
        <v>20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8">
        <v>24575194.698911041</v>
      </c>
      <c r="M32" s="10"/>
      <c r="N32" s="10"/>
      <c r="O32" s="10"/>
      <c r="P32" s="10"/>
      <c r="Q32" s="26">
        <f t="shared" si="0"/>
        <v>24575194.698911041</v>
      </c>
      <c r="R32" s="26"/>
      <c r="S32" s="26" t="s">
        <v>38</v>
      </c>
    </row>
    <row r="33" spans="1:25" ht="66.599999999999994" thickBot="1" x14ac:dyDescent="0.35">
      <c r="A33" s="13" t="s">
        <v>21</v>
      </c>
      <c r="B33" s="10"/>
      <c r="C33" s="10"/>
      <c r="D33" s="10"/>
      <c r="E33" s="10"/>
      <c r="F33" s="18">
        <f>SUM(F30:F32)</f>
        <v>13783081.656840662</v>
      </c>
      <c r="G33" s="10"/>
      <c r="H33" s="10"/>
      <c r="I33" s="10"/>
      <c r="J33" s="10"/>
      <c r="K33" s="10"/>
      <c r="L33" s="18">
        <f>SUM(L30:L32)</f>
        <v>30353194.395251967</v>
      </c>
      <c r="M33" s="10"/>
      <c r="N33" s="10"/>
      <c r="O33" s="10"/>
      <c r="P33" s="10"/>
      <c r="Q33" s="26"/>
      <c r="R33" s="26"/>
      <c r="S33" s="26"/>
    </row>
    <row r="34" spans="1:25" ht="14.4" thickBot="1" x14ac:dyDescent="0.35">
      <c r="A34" s="15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26">
        <f t="shared" si="0"/>
        <v>0</v>
      </c>
      <c r="R34" s="26"/>
      <c r="S34" s="26"/>
    </row>
    <row r="35" spans="1:25" ht="14.4" thickBot="1" x14ac:dyDescent="0.35">
      <c r="A35" s="13" t="s">
        <v>22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8">
        <v>169908788.11076462</v>
      </c>
      <c r="N35" s="10"/>
      <c r="O35" s="10"/>
      <c r="P35" s="10"/>
      <c r="Q35" s="26">
        <f>SUM(B35:P35)</f>
        <v>169908788.11076462</v>
      </c>
      <c r="R35" s="26"/>
      <c r="S35" s="26" t="s">
        <v>40</v>
      </c>
    </row>
    <row r="36" spans="1:25" ht="14.4" thickBot="1" x14ac:dyDescent="0.35">
      <c r="A36" s="14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26">
        <f t="shared" si="0"/>
        <v>0</v>
      </c>
      <c r="R36" s="26"/>
      <c r="S36" s="26"/>
    </row>
    <row r="37" spans="1:25" s="24" customFormat="1" ht="27" thickBot="1" x14ac:dyDescent="0.35">
      <c r="A37" s="16" t="s">
        <v>41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>
        <f>39288105.145156+1285048-358477</f>
        <v>40214676.145156004</v>
      </c>
      <c r="N37" s="19"/>
      <c r="O37" s="19"/>
      <c r="P37" s="5">
        <v>3370146</v>
      </c>
      <c r="Q37" s="26">
        <f>SUM(B37:P37)</f>
        <v>43584822.145156004</v>
      </c>
      <c r="R37" s="26"/>
      <c r="S37" s="30" t="s">
        <v>42</v>
      </c>
    </row>
    <row r="38" spans="1:25" ht="27" thickBot="1" x14ac:dyDescent="0.35">
      <c r="A38" s="17" t="s">
        <v>23</v>
      </c>
      <c r="B38" s="18">
        <f>+B37+B35+B33+B28+B26+B20</f>
        <v>89517866.943412498</v>
      </c>
      <c r="C38" s="18">
        <f t="shared" ref="C38:P38" si="2">+C37+C35+C33+C28+C26+C20</f>
        <v>127664769.83828004</v>
      </c>
      <c r="D38" s="18">
        <f t="shared" si="2"/>
        <v>2044186.0565874998</v>
      </c>
      <c r="E38" s="18">
        <f t="shared" si="2"/>
        <v>5676928.0606050007</v>
      </c>
      <c r="F38" s="18">
        <f t="shared" si="2"/>
        <v>69545626.992293432</v>
      </c>
      <c r="G38" s="18">
        <f t="shared" si="2"/>
        <v>0</v>
      </c>
      <c r="H38" s="18">
        <f t="shared" si="2"/>
        <v>0</v>
      </c>
      <c r="I38" s="18">
        <f t="shared" si="2"/>
        <v>0</v>
      </c>
      <c r="J38" s="18">
        <f t="shared" si="2"/>
        <v>0</v>
      </c>
      <c r="K38" s="18">
        <f t="shared" si="2"/>
        <v>0</v>
      </c>
      <c r="L38" s="18">
        <f t="shared" si="2"/>
        <v>106966807.55809426</v>
      </c>
      <c r="M38" s="18">
        <f t="shared" si="2"/>
        <v>267223852.19887632</v>
      </c>
      <c r="N38" s="18">
        <f t="shared" si="2"/>
        <v>0</v>
      </c>
      <c r="O38" s="18">
        <f t="shared" si="2"/>
        <v>1500000</v>
      </c>
      <c r="P38" s="18">
        <f t="shared" si="2"/>
        <v>3370146</v>
      </c>
      <c r="Q38" s="26">
        <f>SUM(B38:P38)</f>
        <v>673510183.64814901</v>
      </c>
      <c r="R38" s="26"/>
      <c r="S38" s="26"/>
    </row>
    <row r="40" spans="1:25" x14ac:dyDescent="0.3"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</sheetData>
  <mergeCells count="21">
    <mergeCell ref="A8:A10"/>
    <mergeCell ref="B8:C10"/>
    <mergeCell ref="D8:E10"/>
    <mergeCell ref="F8:G10"/>
    <mergeCell ref="H8:I8"/>
    <mergeCell ref="H10:I10"/>
    <mergeCell ref="H9:I9"/>
    <mergeCell ref="A5:A7"/>
    <mergeCell ref="B5:E7"/>
    <mergeCell ref="F5:K7"/>
    <mergeCell ref="L5:M7"/>
    <mergeCell ref="N5:P7"/>
    <mergeCell ref="J10:K10"/>
    <mergeCell ref="L10:M10"/>
    <mergeCell ref="N10:P10"/>
    <mergeCell ref="J8:K8"/>
    <mergeCell ref="L8:M8"/>
    <mergeCell ref="N8:P8"/>
    <mergeCell ref="J9:K9"/>
    <mergeCell ref="L9:M9"/>
    <mergeCell ref="N9:P9"/>
  </mergeCells>
  <pageMargins left="0.17" right="0.19" top="0.51" bottom="0.6" header="0.3" footer="0.3"/>
  <pageSetup paperSize="5" scale="58" orientation="landscape" r:id="rId1"/>
  <headerFooter>
    <oddFooter>&amp;R&amp;9&amp;Z&amp;F&amp;A
&amp;T&amp;D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2016</vt:lpstr>
      <vt:lpstr>2017</vt:lpstr>
      <vt:lpstr>'2016'!Print_Area</vt:lpstr>
    </vt:vector>
  </TitlesOfParts>
  <Company>AGO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Aladro</dc:creator>
  <cp:lastModifiedBy>ANF</cp:lastModifiedBy>
  <cp:lastPrinted>2018-09-13T13:56:31Z</cp:lastPrinted>
  <dcterms:created xsi:type="dcterms:W3CDTF">2013-08-09T13:32:19Z</dcterms:created>
  <dcterms:modified xsi:type="dcterms:W3CDTF">2018-09-18T19:29:14Z</dcterms:modified>
</cp:coreProperties>
</file>