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360" windowHeight="73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5" i="1" l="1"/>
  <c r="S6" i="1"/>
  <c r="S7" i="1"/>
  <c r="S10" i="1"/>
  <c r="S11" i="1"/>
  <c r="S12" i="1"/>
  <c r="S13" i="1"/>
  <c r="S4" i="1"/>
  <c r="L93" i="1" l="1"/>
  <c r="L92" i="1"/>
  <c r="K93" i="1"/>
  <c r="K92" i="1"/>
  <c r="J93" i="1"/>
  <c r="J92" i="1"/>
  <c r="C185" i="1"/>
  <c r="C183" i="1"/>
  <c r="C179" i="1"/>
  <c r="L170" i="1"/>
  <c r="M170" i="1" s="1"/>
  <c r="K170" i="1"/>
  <c r="D185" i="1" l="1"/>
  <c r="C178" i="1"/>
  <c r="D179" i="1" s="1"/>
  <c r="M169" i="1"/>
  <c r="M168" i="1"/>
  <c r="J169" i="1"/>
  <c r="K169" i="1"/>
  <c r="L169" i="1"/>
  <c r="I169" i="1"/>
  <c r="J168" i="1"/>
  <c r="K168" i="1"/>
  <c r="L168" i="1"/>
  <c r="I168" i="1"/>
  <c r="C172" i="1" s="1"/>
  <c r="D172" i="1" s="1"/>
  <c r="E172" i="1" s="1"/>
  <c r="F172" i="1" s="1"/>
  <c r="G172" i="1" s="1"/>
  <c r="C161" i="1"/>
  <c r="C154" i="1"/>
  <c r="C153" i="1"/>
  <c r="I143" i="1"/>
  <c r="C142" i="1" s="1"/>
  <c r="I142" i="1"/>
  <c r="C147" i="1" s="1"/>
  <c r="D147" i="1" s="1"/>
  <c r="E147" i="1" s="1"/>
  <c r="F147" i="1" s="1"/>
  <c r="G147" i="1" s="1"/>
  <c r="J143" i="1"/>
  <c r="J142" i="1"/>
  <c r="I118" i="1"/>
  <c r="C117" i="1" s="1"/>
  <c r="D117" i="1" s="1"/>
  <c r="E117" i="1" s="1"/>
  <c r="F117" i="1" s="1"/>
  <c r="G117" i="1" s="1"/>
  <c r="I117" i="1"/>
  <c r="K118" i="1"/>
  <c r="M117" i="1"/>
  <c r="M118" i="1"/>
  <c r="L117" i="1"/>
  <c r="L118" i="1"/>
  <c r="K117" i="1"/>
  <c r="J117" i="1"/>
  <c r="J118" i="1"/>
  <c r="C129" i="1"/>
  <c r="C128" i="1"/>
  <c r="M72" i="1"/>
  <c r="L72" i="1"/>
  <c r="K72" i="1"/>
  <c r="J72" i="1"/>
  <c r="I72" i="1"/>
  <c r="M69" i="1"/>
  <c r="K69" i="1"/>
  <c r="L69" i="1"/>
  <c r="J69" i="1"/>
  <c r="I69" i="1"/>
  <c r="C79" i="1" s="1"/>
  <c r="M68" i="1"/>
  <c r="K68" i="1"/>
  <c r="L68" i="1"/>
  <c r="J68" i="1"/>
  <c r="I68" i="1"/>
  <c r="C67" i="1" s="1"/>
  <c r="M67" i="1"/>
  <c r="K67" i="1"/>
  <c r="L67" i="1"/>
  <c r="J67" i="1"/>
  <c r="I67" i="1"/>
  <c r="B47" i="1"/>
  <c r="C47" i="1" s="1"/>
  <c r="D47" i="1" s="1"/>
  <c r="E47" i="1" s="1"/>
  <c r="F47" i="1" s="1"/>
  <c r="G47" i="1" s="1"/>
  <c r="C182" i="1"/>
  <c r="C181" i="1"/>
  <c r="C157" i="1"/>
  <c r="D157" i="1" s="1"/>
  <c r="E157" i="1" s="1"/>
  <c r="F157" i="1" s="1"/>
  <c r="C155" i="1"/>
  <c r="D155" i="1" s="1"/>
  <c r="E155" i="1" s="1"/>
  <c r="F155" i="1" s="1"/>
  <c r="G155" i="1" s="1"/>
  <c r="C156" i="1"/>
  <c r="C132" i="1"/>
  <c r="C131" i="1"/>
  <c r="C123" i="1"/>
  <c r="D123" i="1" s="1"/>
  <c r="E123" i="1" s="1"/>
  <c r="F123" i="1" s="1"/>
  <c r="G123" i="1" s="1"/>
  <c r="C75" i="1"/>
  <c r="D75" i="1" s="1"/>
  <c r="E75" i="1" s="1"/>
  <c r="F75" i="1" s="1"/>
  <c r="G75" i="1" s="1"/>
  <c r="C85" i="1"/>
  <c r="D85" i="1" s="1"/>
  <c r="E85" i="1" s="1"/>
  <c r="F85" i="1" s="1"/>
  <c r="G85" i="1" s="1"/>
  <c r="C81" i="1"/>
  <c r="M173" i="1"/>
  <c r="L173" i="1"/>
  <c r="K173" i="1"/>
  <c r="J173" i="1"/>
  <c r="I173" i="1"/>
  <c r="M147" i="1"/>
  <c r="L147" i="1"/>
  <c r="K147" i="1"/>
  <c r="J147" i="1"/>
  <c r="I147" i="1"/>
  <c r="J122" i="1"/>
  <c r="K122" i="1"/>
  <c r="L122" i="1"/>
  <c r="M122" i="1"/>
  <c r="I122" i="1"/>
  <c r="D183" i="1" l="1"/>
  <c r="E183" i="1" s="1"/>
  <c r="D129" i="1"/>
  <c r="C143" i="1"/>
  <c r="D142" i="1" s="1"/>
  <c r="C168" i="1"/>
  <c r="C167" i="1"/>
  <c r="D178" i="1"/>
  <c r="E185" i="1" s="1"/>
  <c r="C121" i="1"/>
  <c r="D121" i="1" s="1"/>
  <c r="E121" i="1" s="1"/>
  <c r="F121" i="1" s="1"/>
  <c r="G121" i="1" s="1"/>
  <c r="D161" i="1"/>
  <c r="E161" i="1"/>
  <c r="P161" i="1" s="1"/>
  <c r="D143" i="1"/>
  <c r="C68" i="1"/>
  <c r="D67" i="1" s="1"/>
  <c r="C71" i="1"/>
  <c r="D71" i="1" s="1"/>
  <c r="E71" i="1" s="1"/>
  <c r="F71" i="1" s="1"/>
  <c r="G71" i="1" s="1"/>
  <c r="C122" i="1"/>
  <c r="D122" i="1" s="1"/>
  <c r="E122" i="1" s="1"/>
  <c r="F122" i="1" s="1"/>
  <c r="G122" i="1" s="1"/>
  <c r="D154" i="1"/>
  <c r="D153" i="1"/>
  <c r="C146" i="1"/>
  <c r="D146" i="1" s="1"/>
  <c r="E146" i="1" s="1"/>
  <c r="F146" i="1" s="1"/>
  <c r="G146" i="1" s="1"/>
  <c r="C72" i="1"/>
  <c r="D72" i="1" s="1"/>
  <c r="E72" i="1" s="1"/>
  <c r="F72" i="1" s="1"/>
  <c r="G72" i="1" s="1"/>
  <c r="C78" i="1"/>
  <c r="D78" i="1" s="1"/>
  <c r="D128" i="1"/>
  <c r="E129" i="1" s="1"/>
  <c r="C82" i="1"/>
  <c r="D82" i="1" s="1"/>
  <c r="E82" i="1" s="1"/>
  <c r="R186" i="1"/>
  <c r="Q186" i="1"/>
  <c r="P186" i="1"/>
  <c r="R184" i="1"/>
  <c r="Q184" i="1"/>
  <c r="P184" i="1"/>
  <c r="D182" i="1"/>
  <c r="E182" i="1" s="1"/>
  <c r="D181" i="1"/>
  <c r="E181" i="1" s="1"/>
  <c r="R180" i="1"/>
  <c r="Q180" i="1"/>
  <c r="P180" i="1"/>
  <c r="R175" i="1"/>
  <c r="Q175" i="1"/>
  <c r="P175" i="1"/>
  <c r="R174" i="1"/>
  <c r="Q174" i="1"/>
  <c r="P174" i="1"/>
  <c r="R173" i="1"/>
  <c r="Q173" i="1"/>
  <c r="P173" i="1"/>
  <c r="C170" i="1"/>
  <c r="D170" i="1" s="1"/>
  <c r="E170" i="1" s="1"/>
  <c r="P170" i="1" s="1"/>
  <c r="R169" i="1"/>
  <c r="Q169" i="1"/>
  <c r="P169" i="1"/>
  <c r="C171" i="1"/>
  <c r="R159" i="1"/>
  <c r="Q159" i="1"/>
  <c r="P159" i="1"/>
  <c r="D156" i="1"/>
  <c r="E156" i="1" s="1"/>
  <c r="R155" i="1"/>
  <c r="Q155" i="1"/>
  <c r="P155" i="1"/>
  <c r="R150" i="1"/>
  <c r="Q150" i="1"/>
  <c r="P150" i="1"/>
  <c r="R149" i="1"/>
  <c r="Q149" i="1"/>
  <c r="P149" i="1"/>
  <c r="R148" i="1"/>
  <c r="Q148" i="1"/>
  <c r="P148" i="1"/>
  <c r="C145" i="1"/>
  <c r="D145" i="1" s="1"/>
  <c r="E145" i="1" s="1"/>
  <c r="P145" i="1" s="1"/>
  <c r="R144" i="1"/>
  <c r="Q144" i="1"/>
  <c r="P144" i="1"/>
  <c r="R136" i="1"/>
  <c r="Q136" i="1"/>
  <c r="P136" i="1"/>
  <c r="R134" i="1"/>
  <c r="Q134" i="1"/>
  <c r="P134" i="1"/>
  <c r="D132" i="1"/>
  <c r="E132" i="1" s="1"/>
  <c r="D131" i="1"/>
  <c r="E131" i="1" s="1"/>
  <c r="R130" i="1"/>
  <c r="Q130" i="1"/>
  <c r="P130" i="1"/>
  <c r="R125" i="1"/>
  <c r="Q125" i="1"/>
  <c r="P125" i="1"/>
  <c r="R124" i="1"/>
  <c r="Q124" i="1"/>
  <c r="P124" i="1"/>
  <c r="R123" i="1"/>
  <c r="Q123" i="1"/>
  <c r="P123" i="1"/>
  <c r="C120" i="1"/>
  <c r="D120" i="1" s="1"/>
  <c r="E120" i="1" s="1"/>
  <c r="R119" i="1"/>
  <c r="Q119" i="1"/>
  <c r="P119" i="1"/>
  <c r="P118" i="1"/>
  <c r="R86" i="1"/>
  <c r="Q86" i="1"/>
  <c r="P86" i="1"/>
  <c r="R84" i="1"/>
  <c r="Q84" i="1"/>
  <c r="P84" i="1"/>
  <c r="D81" i="1"/>
  <c r="E81" i="1" s="1"/>
  <c r="R80" i="1"/>
  <c r="Q80" i="1"/>
  <c r="P80" i="1"/>
  <c r="R75" i="1"/>
  <c r="Q75" i="1"/>
  <c r="P75" i="1"/>
  <c r="R74" i="1"/>
  <c r="Q74" i="1"/>
  <c r="P74" i="1"/>
  <c r="R73" i="1"/>
  <c r="Q73" i="1"/>
  <c r="P73" i="1"/>
  <c r="C70" i="1"/>
  <c r="D70" i="1" s="1"/>
  <c r="E70" i="1" s="1"/>
  <c r="R69" i="1"/>
  <c r="Q69" i="1"/>
  <c r="P69" i="1"/>
  <c r="C92" i="1"/>
  <c r="I92" i="1"/>
  <c r="C103" i="1"/>
  <c r="C110" i="1"/>
  <c r="E179" i="1" l="1"/>
  <c r="D167" i="1"/>
  <c r="E167" i="1" s="1"/>
  <c r="D168" i="1"/>
  <c r="E178" i="1"/>
  <c r="C97" i="1"/>
  <c r="D97" i="1" s="1"/>
  <c r="E97" i="1" s="1"/>
  <c r="F97" i="1" s="1"/>
  <c r="F179" i="1"/>
  <c r="D68" i="1"/>
  <c r="E67" i="1" s="1"/>
  <c r="E143" i="1"/>
  <c r="E154" i="1"/>
  <c r="P154" i="1" s="1"/>
  <c r="E153" i="1"/>
  <c r="F161" i="1" s="1"/>
  <c r="Q161" i="1" s="1"/>
  <c r="E142" i="1"/>
  <c r="D79" i="1"/>
  <c r="E79" i="1" s="1"/>
  <c r="P79" i="1" s="1"/>
  <c r="E128" i="1"/>
  <c r="C162" i="1"/>
  <c r="C137" i="1"/>
  <c r="C187" i="1"/>
  <c r="P121" i="1"/>
  <c r="P146" i="1"/>
  <c r="D171" i="1"/>
  <c r="E171" i="1" s="1"/>
  <c r="F171" i="1" s="1"/>
  <c r="P185" i="1"/>
  <c r="P179" i="1"/>
  <c r="F181" i="1"/>
  <c r="P181" i="1"/>
  <c r="P172" i="1"/>
  <c r="F182" i="1"/>
  <c r="P182" i="1"/>
  <c r="P183" i="1"/>
  <c r="F170" i="1"/>
  <c r="C176" i="1"/>
  <c r="P158" i="1"/>
  <c r="P160" i="1"/>
  <c r="F156" i="1"/>
  <c r="P156" i="1"/>
  <c r="P147" i="1"/>
  <c r="P157" i="1"/>
  <c r="P143" i="1"/>
  <c r="F145" i="1"/>
  <c r="P135" i="1"/>
  <c r="F131" i="1"/>
  <c r="P131" i="1"/>
  <c r="P122" i="1"/>
  <c r="F132" i="1"/>
  <c r="P132" i="1"/>
  <c r="P129" i="1"/>
  <c r="P120" i="1"/>
  <c r="F120" i="1"/>
  <c r="P133" i="1"/>
  <c r="C126" i="1"/>
  <c r="C87" i="1"/>
  <c r="P83" i="1"/>
  <c r="P85" i="1"/>
  <c r="P70" i="1"/>
  <c r="F70" i="1"/>
  <c r="F81" i="1"/>
  <c r="P81" i="1"/>
  <c r="P71" i="1"/>
  <c r="P72" i="1"/>
  <c r="F82" i="1"/>
  <c r="P82" i="1"/>
  <c r="C76" i="1"/>
  <c r="F185" i="1" l="1"/>
  <c r="Q185" i="1" s="1"/>
  <c r="E168" i="1"/>
  <c r="F168" i="1" s="1"/>
  <c r="Q168" i="1" s="1"/>
  <c r="F178" i="1"/>
  <c r="F183" i="1"/>
  <c r="Q183" i="1" s="1"/>
  <c r="D76" i="1"/>
  <c r="E68" i="1"/>
  <c r="F68" i="1" s="1"/>
  <c r="D176" i="1"/>
  <c r="F153" i="1"/>
  <c r="G161" i="1" s="1"/>
  <c r="R161" i="1" s="1"/>
  <c r="F154" i="1"/>
  <c r="F142" i="1"/>
  <c r="G142" i="1" s="1"/>
  <c r="F143" i="1"/>
  <c r="C151" i="1"/>
  <c r="E78" i="1"/>
  <c r="F78" i="1" s="1"/>
  <c r="F128" i="1"/>
  <c r="F129" i="1"/>
  <c r="D126" i="1"/>
  <c r="P171" i="1"/>
  <c r="D151" i="1"/>
  <c r="Q146" i="1"/>
  <c r="R121" i="1"/>
  <c r="D187" i="1"/>
  <c r="Q179" i="1"/>
  <c r="Q182" i="1"/>
  <c r="E176" i="1"/>
  <c r="P167" i="1"/>
  <c r="Q170" i="1"/>
  <c r="G170" i="1"/>
  <c r="R170" i="1" s="1"/>
  <c r="G171" i="1"/>
  <c r="R171" i="1" s="1"/>
  <c r="Q171" i="1"/>
  <c r="Q172" i="1"/>
  <c r="G181" i="1"/>
  <c r="R181" i="1" s="1"/>
  <c r="Q181" i="1"/>
  <c r="Q157" i="1"/>
  <c r="E151" i="1"/>
  <c r="P142" i="1"/>
  <c r="P151" i="1" s="1"/>
  <c r="Q158" i="1"/>
  <c r="R158" i="1"/>
  <c r="G145" i="1"/>
  <c r="R145" i="1" s="1"/>
  <c r="Q145" i="1"/>
  <c r="R160" i="1"/>
  <c r="Q160" i="1"/>
  <c r="Q147" i="1"/>
  <c r="Q156" i="1"/>
  <c r="G156" i="1"/>
  <c r="R156" i="1" s="1"/>
  <c r="D162" i="1"/>
  <c r="G120" i="1"/>
  <c r="R120" i="1" s="1"/>
  <c r="Q120" i="1"/>
  <c r="R135" i="1"/>
  <c r="Q135" i="1"/>
  <c r="R118" i="1"/>
  <c r="Q118" i="1"/>
  <c r="Q122" i="1"/>
  <c r="D137" i="1"/>
  <c r="Q133" i="1"/>
  <c r="R133" i="1"/>
  <c r="Q132" i="1"/>
  <c r="Q131" i="1"/>
  <c r="G131" i="1"/>
  <c r="R131" i="1" s="1"/>
  <c r="E126" i="1"/>
  <c r="P117" i="1"/>
  <c r="P126" i="1" s="1"/>
  <c r="R71" i="1"/>
  <c r="Q71" i="1"/>
  <c r="Q70" i="1"/>
  <c r="G70" i="1"/>
  <c r="R70" i="1" s="1"/>
  <c r="Q82" i="1"/>
  <c r="R83" i="1"/>
  <c r="Q83" i="1"/>
  <c r="D87" i="1"/>
  <c r="R85" i="1"/>
  <c r="Q85" i="1"/>
  <c r="Q72" i="1"/>
  <c r="G81" i="1"/>
  <c r="R81" i="1" s="1"/>
  <c r="Q81" i="1"/>
  <c r="P67" i="1"/>
  <c r="G179" i="1" l="1"/>
  <c r="R179" i="1" s="1"/>
  <c r="G185" i="1"/>
  <c r="R185" i="1" s="1"/>
  <c r="G183" i="1"/>
  <c r="R183" i="1" s="1"/>
  <c r="P168" i="1"/>
  <c r="P176" i="1" s="1"/>
  <c r="F167" i="1"/>
  <c r="G178" i="1"/>
  <c r="F67" i="1"/>
  <c r="G68" i="1" s="1"/>
  <c r="R68" i="1" s="1"/>
  <c r="P68" i="1"/>
  <c r="P76" i="1" s="1"/>
  <c r="E76" i="1"/>
  <c r="G154" i="1"/>
  <c r="R154" i="1" s="1"/>
  <c r="G153" i="1"/>
  <c r="Q154" i="1"/>
  <c r="G143" i="1"/>
  <c r="R143" i="1" s="1"/>
  <c r="Q143" i="1"/>
  <c r="R146" i="1"/>
  <c r="F79" i="1"/>
  <c r="G78" i="1" s="1"/>
  <c r="G129" i="1"/>
  <c r="R129" i="1" s="1"/>
  <c r="G128" i="1"/>
  <c r="Q129" i="1"/>
  <c r="Q121" i="1"/>
  <c r="G67" i="1"/>
  <c r="Q68" i="1"/>
  <c r="E187" i="1"/>
  <c r="P178" i="1"/>
  <c r="P187" i="1" s="1"/>
  <c r="F176" i="1"/>
  <c r="Q167" i="1"/>
  <c r="Q176" i="1" s="1"/>
  <c r="F151" i="1"/>
  <c r="Q142" i="1"/>
  <c r="Q151" i="1" s="1"/>
  <c r="P153" i="1"/>
  <c r="P162" i="1" s="1"/>
  <c r="P163" i="1" s="1"/>
  <c r="E9" i="1" s="1"/>
  <c r="E162" i="1"/>
  <c r="F126" i="1"/>
  <c r="Q117" i="1"/>
  <c r="E137" i="1"/>
  <c r="P128" i="1"/>
  <c r="P137" i="1" s="1"/>
  <c r="P138" i="1" s="1"/>
  <c r="E8" i="1" s="1"/>
  <c r="E87" i="1"/>
  <c r="P78" i="1"/>
  <c r="P87" i="1" s="1"/>
  <c r="Q67" i="1"/>
  <c r="B43" i="1"/>
  <c r="B44" i="1"/>
  <c r="C44" i="1" s="1"/>
  <c r="D44" i="1" s="1"/>
  <c r="E44" i="1" s="1"/>
  <c r="F44" i="1" s="1"/>
  <c r="G44" i="1" s="1"/>
  <c r="R44" i="1" s="1"/>
  <c r="B45" i="1"/>
  <c r="B46" i="1"/>
  <c r="B48" i="1"/>
  <c r="B49" i="1"/>
  <c r="B50" i="1"/>
  <c r="B51" i="1"/>
  <c r="J47" i="1" s="1"/>
  <c r="B53" i="1"/>
  <c r="B54" i="1"/>
  <c r="B55" i="1"/>
  <c r="B56" i="1"/>
  <c r="C56" i="1" s="1"/>
  <c r="D56" i="1" s="1"/>
  <c r="E56" i="1" s="1"/>
  <c r="B57" i="1"/>
  <c r="B58" i="1"/>
  <c r="B59" i="1"/>
  <c r="B60" i="1"/>
  <c r="C60" i="1" s="1"/>
  <c r="D60" i="1" s="1"/>
  <c r="E60" i="1" s="1"/>
  <c r="F60" i="1" s="1"/>
  <c r="G60" i="1" s="1"/>
  <c r="B61" i="1"/>
  <c r="C61" i="1" s="1"/>
  <c r="D61" i="1" s="1"/>
  <c r="E61" i="1" s="1"/>
  <c r="F61" i="1" s="1"/>
  <c r="G61" i="1" s="1"/>
  <c r="B62" i="1"/>
  <c r="B42" i="1"/>
  <c r="B18" i="1"/>
  <c r="B19" i="1"/>
  <c r="C19" i="1" s="1"/>
  <c r="D19" i="1" s="1"/>
  <c r="E19" i="1" s="1"/>
  <c r="F19" i="1" s="1"/>
  <c r="G19" i="1" s="1"/>
  <c r="B20" i="1"/>
  <c r="B21" i="1"/>
  <c r="B23" i="1"/>
  <c r="B24" i="1"/>
  <c r="C24" i="1" s="1"/>
  <c r="D24" i="1" s="1"/>
  <c r="E24" i="1" s="1"/>
  <c r="F24" i="1" s="1"/>
  <c r="G24" i="1" s="1"/>
  <c r="B25" i="1"/>
  <c r="B26" i="1"/>
  <c r="B28" i="1"/>
  <c r="B29" i="1"/>
  <c r="B30" i="1"/>
  <c r="B31" i="1"/>
  <c r="C31" i="1" s="1"/>
  <c r="B32" i="1"/>
  <c r="B33" i="1"/>
  <c r="B34" i="1"/>
  <c r="B35" i="1"/>
  <c r="C35" i="1" s="1"/>
  <c r="D35" i="1" s="1"/>
  <c r="E35" i="1" s="1"/>
  <c r="F35" i="1" s="1"/>
  <c r="G35" i="1" s="1"/>
  <c r="B36" i="1"/>
  <c r="C36" i="1" s="1"/>
  <c r="D36" i="1" s="1"/>
  <c r="E36" i="1" s="1"/>
  <c r="F36" i="1" s="1"/>
  <c r="G36" i="1" s="1"/>
  <c r="B37" i="1"/>
  <c r="B17" i="1"/>
  <c r="C17" i="1" s="1"/>
  <c r="T22" i="1"/>
  <c r="B22" i="1" s="1"/>
  <c r="C22" i="1" s="1"/>
  <c r="D22" i="1" s="1"/>
  <c r="E22" i="1" s="1"/>
  <c r="F22" i="1" s="1"/>
  <c r="G22" i="1" s="1"/>
  <c r="R61" i="1"/>
  <c r="Q61" i="1"/>
  <c r="P61" i="1"/>
  <c r="R59" i="1"/>
  <c r="Q59" i="1"/>
  <c r="P59" i="1"/>
  <c r="R55" i="1"/>
  <c r="Q55" i="1"/>
  <c r="P55" i="1"/>
  <c r="R50" i="1"/>
  <c r="Q50" i="1"/>
  <c r="P50" i="1"/>
  <c r="R49" i="1"/>
  <c r="Q49" i="1"/>
  <c r="P49" i="1"/>
  <c r="R48" i="1"/>
  <c r="Q48" i="1"/>
  <c r="P48" i="1"/>
  <c r="C45" i="1"/>
  <c r="D45" i="1" s="1"/>
  <c r="E45" i="1" s="1"/>
  <c r="P45" i="1" s="1"/>
  <c r="G168" i="1" l="1"/>
  <c r="R168" i="1" s="1"/>
  <c r="G167" i="1"/>
  <c r="C18" i="1"/>
  <c r="D18" i="1" s="1"/>
  <c r="I43" i="1"/>
  <c r="C43" i="1" s="1"/>
  <c r="C42" i="1"/>
  <c r="J48" i="1"/>
  <c r="P88" i="1"/>
  <c r="E6" i="1" s="1"/>
  <c r="M44" i="1"/>
  <c r="P44" i="1"/>
  <c r="K23" i="1"/>
  <c r="L23" i="1" s="1"/>
  <c r="M23" i="1" s="1"/>
  <c r="Q44" i="1"/>
  <c r="C28" i="1"/>
  <c r="F76" i="1"/>
  <c r="K22" i="1"/>
  <c r="L22" i="1" s="1"/>
  <c r="M22" i="1" s="1"/>
  <c r="I44" i="1"/>
  <c r="C53" i="1" s="1"/>
  <c r="J19" i="1"/>
  <c r="J44" i="1"/>
  <c r="M19" i="1"/>
  <c r="K48" i="1"/>
  <c r="L48" i="1" s="1"/>
  <c r="M48" i="1" s="1"/>
  <c r="K19" i="1"/>
  <c r="K44" i="1"/>
  <c r="C33" i="1"/>
  <c r="C29" i="1"/>
  <c r="L19" i="1"/>
  <c r="L44" i="1"/>
  <c r="G79" i="1"/>
  <c r="R79" i="1" s="1"/>
  <c r="Q79" i="1"/>
  <c r="Q126" i="1"/>
  <c r="Q76" i="1"/>
  <c r="P188" i="1"/>
  <c r="E10" i="1" s="1"/>
  <c r="I47" i="1"/>
  <c r="K47" i="1"/>
  <c r="L47" i="1" s="1"/>
  <c r="M47" i="1" s="1"/>
  <c r="I48" i="1"/>
  <c r="J22" i="1"/>
  <c r="J23" i="1"/>
  <c r="I22" i="1"/>
  <c r="I23" i="1"/>
  <c r="C32" i="1" s="1"/>
  <c r="Q178" i="1"/>
  <c r="Q187" i="1" s="1"/>
  <c r="Q188" i="1" s="1"/>
  <c r="F10" i="1" s="1"/>
  <c r="G182" i="1"/>
  <c r="R182" i="1" s="1"/>
  <c r="F187" i="1"/>
  <c r="Q153" i="1"/>
  <c r="Q162" i="1" s="1"/>
  <c r="Q163" i="1" s="1"/>
  <c r="F9" i="1" s="1"/>
  <c r="F162" i="1"/>
  <c r="Q128" i="1"/>
  <c r="Q137" i="1" s="1"/>
  <c r="G132" i="1"/>
  <c r="R132" i="1" s="1"/>
  <c r="F137" i="1"/>
  <c r="Q78" i="1"/>
  <c r="G82" i="1"/>
  <c r="R82" i="1" s="1"/>
  <c r="F87" i="1"/>
  <c r="F56" i="1"/>
  <c r="P56" i="1"/>
  <c r="P60" i="1"/>
  <c r="F45" i="1"/>
  <c r="D42" i="1" l="1"/>
  <c r="D43" i="1"/>
  <c r="E43" i="1" s="1"/>
  <c r="C46" i="1"/>
  <c r="D46" i="1" s="1"/>
  <c r="E46" i="1" s="1"/>
  <c r="F46" i="1" s="1"/>
  <c r="G46" i="1" s="1"/>
  <c r="Q87" i="1"/>
  <c r="Q88" i="1" s="1"/>
  <c r="F6" i="1" s="1"/>
  <c r="D17" i="1"/>
  <c r="E17" i="1" s="1"/>
  <c r="D28" i="1"/>
  <c r="E28" i="1" s="1"/>
  <c r="F28" i="1" s="1"/>
  <c r="G28" i="1" s="1"/>
  <c r="D53" i="1"/>
  <c r="E53" i="1" s="1"/>
  <c r="F53" i="1" s="1"/>
  <c r="G53" i="1" s="1"/>
  <c r="D29" i="1"/>
  <c r="E29" i="1" s="1"/>
  <c r="F29" i="1" s="1"/>
  <c r="G29" i="1" s="1"/>
  <c r="C57" i="1"/>
  <c r="D57" i="1" s="1"/>
  <c r="E57" i="1" s="1"/>
  <c r="F57" i="1" s="1"/>
  <c r="G57" i="1" s="1"/>
  <c r="R57" i="1" s="1"/>
  <c r="D33" i="1"/>
  <c r="E33" i="1" s="1"/>
  <c r="F33" i="1" s="1"/>
  <c r="G33" i="1" s="1"/>
  <c r="C54" i="1"/>
  <c r="D54" i="1" s="1"/>
  <c r="E54" i="1" s="1"/>
  <c r="C58" i="1"/>
  <c r="D58" i="1" s="1"/>
  <c r="E58" i="1" s="1"/>
  <c r="Q138" i="1"/>
  <c r="F8" i="1" s="1"/>
  <c r="G87" i="1"/>
  <c r="G157" i="1"/>
  <c r="R157" i="1" s="1"/>
  <c r="R153" i="1"/>
  <c r="G45" i="1"/>
  <c r="R45" i="1" s="1"/>
  <c r="Q45" i="1"/>
  <c r="R60" i="1"/>
  <c r="Q60" i="1"/>
  <c r="G56" i="1"/>
  <c r="R56" i="1" s="1"/>
  <c r="Q56" i="1"/>
  <c r="E18" i="1" l="1"/>
  <c r="F18" i="1" s="1"/>
  <c r="Q57" i="1"/>
  <c r="P57" i="1"/>
  <c r="F58" i="1"/>
  <c r="P58" i="1"/>
  <c r="D62" i="1"/>
  <c r="F54" i="1"/>
  <c r="P54" i="1"/>
  <c r="C62" i="1"/>
  <c r="R78" i="1"/>
  <c r="R87" i="1" s="1"/>
  <c r="R162" i="1"/>
  <c r="E62" i="1"/>
  <c r="G162" i="1"/>
  <c r="R178" i="1"/>
  <c r="R187" i="1" s="1"/>
  <c r="G187" i="1"/>
  <c r="R128" i="1"/>
  <c r="R137" i="1" s="1"/>
  <c r="G137" i="1"/>
  <c r="P46" i="1"/>
  <c r="R46" i="1"/>
  <c r="Q46" i="1"/>
  <c r="E42" i="1" l="1"/>
  <c r="F43" i="1" s="1"/>
  <c r="G58" i="1"/>
  <c r="R58" i="1" s="1"/>
  <c r="Q58" i="1"/>
  <c r="G54" i="1"/>
  <c r="R54" i="1" s="1"/>
  <c r="Q54" i="1"/>
  <c r="P43" i="1"/>
  <c r="P53" i="1"/>
  <c r="P62" i="1" s="1"/>
  <c r="Q53" i="1"/>
  <c r="F42" i="1" l="1"/>
  <c r="G42" i="1" s="1"/>
  <c r="Q43" i="1"/>
  <c r="Q62" i="1"/>
  <c r="R53" i="1"/>
  <c r="R62" i="1" s="1"/>
  <c r="F62" i="1"/>
  <c r="G43" i="1" l="1"/>
  <c r="R43" i="1" s="1"/>
  <c r="G62" i="1"/>
  <c r="R36" i="1" l="1"/>
  <c r="Q36" i="1"/>
  <c r="P36" i="1"/>
  <c r="R34" i="1"/>
  <c r="Q34" i="1"/>
  <c r="P34" i="1"/>
  <c r="P33" i="1"/>
  <c r="D32" i="1"/>
  <c r="E32" i="1" s="1"/>
  <c r="P32" i="1" s="1"/>
  <c r="D31" i="1"/>
  <c r="E31" i="1" s="1"/>
  <c r="P31" i="1" s="1"/>
  <c r="R30" i="1"/>
  <c r="Q30" i="1"/>
  <c r="P30" i="1"/>
  <c r="R25" i="1"/>
  <c r="Q25" i="1"/>
  <c r="P25" i="1"/>
  <c r="R24" i="1"/>
  <c r="Q24" i="1"/>
  <c r="P24" i="1"/>
  <c r="R23" i="1"/>
  <c r="Q23" i="1"/>
  <c r="P23" i="1"/>
  <c r="C21" i="1"/>
  <c r="D21" i="1" s="1"/>
  <c r="E21" i="1" s="1"/>
  <c r="C20" i="1"/>
  <c r="D20" i="1" s="1"/>
  <c r="E20" i="1" s="1"/>
  <c r="R19" i="1"/>
  <c r="Q19" i="1"/>
  <c r="P19" i="1"/>
  <c r="F17" i="1"/>
  <c r="G18" i="1" s="1"/>
  <c r="C37" i="1" l="1"/>
  <c r="D37" i="1"/>
  <c r="P18" i="1"/>
  <c r="G17" i="1"/>
  <c r="P20" i="1"/>
  <c r="F20" i="1"/>
  <c r="P21" i="1"/>
  <c r="F21" i="1"/>
  <c r="P29" i="1"/>
  <c r="P35" i="1"/>
  <c r="F31" i="1"/>
  <c r="F32" i="1"/>
  <c r="D103" i="1"/>
  <c r="E103" i="1" s="1"/>
  <c r="F103" i="1" s="1"/>
  <c r="D110" i="1"/>
  <c r="E110" i="1" s="1"/>
  <c r="F110" i="1" s="1"/>
  <c r="G110" i="1" s="1"/>
  <c r="M94" i="1" l="1"/>
  <c r="G103" i="1" s="1"/>
  <c r="P28" i="1"/>
  <c r="P37" i="1" s="1"/>
  <c r="G31" i="1"/>
  <c r="R31" i="1" s="1"/>
  <c r="Q31" i="1"/>
  <c r="Q20" i="1"/>
  <c r="G20" i="1"/>
  <c r="R20" i="1" s="1"/>
  <c r="R33" i="1"/>
  <c r="Q33" i="1"/>
  <c r="R29" i="1"/>
  <c r="Q29" i="1"/>
  <c r="G32" i="1"/>
  <c r="R32" i="1" s="1"/>
  <c r="Q32" i="1"/>
  <c r="R35" i="1"/>
  <c r="Q35" i="1"/>
  <c r="G21" i="1"/>
  <c r="R21" i="1" s="1"/>
  <c r="Q21" i="1"/>
  <c r="Q18" i="1"/>
  <c r="R18" i="1"/>
  <c r="Q103" i="1"/>
  <c r="Q105" i="1"/>
  <c r="R105" i="1"/>
  <c r="Q109" i="1"/>
  <c r="R109" i="1"/>
  <c r="Q110" i="1"/>
  <c r="Q111" i="1"/>
  <c r="R111" i="1"/>
  <c r="P110" i="1"/>
  <c r="P109" i="1"/>
  <c r="P111" i="1"/>
  <c r="P105" i="1"/>
  <c r="P103" i="1"/>
  <c r="Q100" i="1"/>
  <c r="R100" i="1"/>
  <c r="P100" i="1"/>
  <c r="Q99" i="1"/>
  <c r="R99" i="1"/>
  <c r="P99" i="1"/>
  <c r="Q98" i="1"/>
  <c r="R98" i="1"/>
  <c r="P98" i="1"/>
  <c r="Q94" i="1"/>
  <c r="R94" i="1"/>
  <c r="P94" i="1"/>
  <c r="C108" i="1"/>
  <c r="D108" i="1" s="1"/>
  <c r="E108" i="1" s="1"/>
  <c r="F108" i="1" s="1"/>
  <c r="G108" i="1" s="1"/>
  <c r="R108" i="1" s="1"/>
  <c r="C106" i="1"/>
  <c r="D106" i="1" s="1"/>
  <c r="E106" i="1" s="1"/>
  <c r="F106" i="1" s="1"/>
  <c r="G106" i="1" s="1"/>
  <c r="R106" i="1" s="1"/>
  <c r="C104" i="1"/>
  <c r="D104" i="1" s="1"/>
  <c r="E104" i="1" s="1"/>
  <c r="F104" i="1" s="1"/>
  <c r="G104" i="1" s="1"/>
  <c r="R104" i="1" s="1"/>
  <c r="C95" i="1"/>
  <c r="D95" i="1" s="1"/>
  <c r="E95" i="1" s="1"/>
  <c r="F95" i="1" s="1"/>
  <c r="G95" i="1" s="1"/>
  <c r="R95" i="1" s="1"/>
  <c r="C93" i="1"/>
  <c r="C107" i="1"/>
  <c r="D107" i="1" s="1"/>
  <c r="E107" i="1" s="1"/>
  <c r="F107" i="1" s="1"/>
  <c r="G107" i="1" s="1"/>
  <c r="R107" i="1" s="1"/>
  <c r="R110" i="1"/>
  <c r="J97" i="1"/>
  <c r="K97" i="1"/>
  <c r="L97" i="1"/>
  <c r="M97" i="1"/>
  <c r="I97" i="1"/>
  <c r="C96" i="1" s="1"/>
  <c r="D96" i="1" s="1"/>
  <c r="E96" i="1" s="1"/>
  <c r="F96" i="1" s="1"/>
  <c r="G96" i="1" s="1"/>
  <c r="D93" i="1" l="1"/>
  <c r="D92" i="1"/>
  <c r="E92" i="1" s="1"/>
  <c r="C112" i="1"/>
  <c r="R96" i="1"/>
  <c r="Q104" i="1"/>
  <c r="Q106" i="1"/>
  <c r="Q95" i="1"/>
  <c r="P104" i="1"/>
  <c r="P108" i="1"/>
  <c r="P106" i="1"/>
  <c r="Q108" i="1"/>
  <c r="P95" i="1"/>
  <c r="P107" i="1"/>
  <c r="Q107" i="1"/>
  <c r="P96" i="1"/>
  <c r="F37" i="1"/>
  <c r="E37" i="1"/>
  <c r="Q28" i="1"/>
  <c r="Q37" i="1" s="1"/>
  <c r="E93" i="1" l="1"/>
  <c r="Q96" i="1"/>
  <c r="P112" i="1"/>
  <c r="R172" i="1"/>
  <c r="R122" i="1"/>
  <c r="R147" i="1"/>
  <c r="Q112" i="1"/>
  <c r="R72" i="1"/>
  <c r="P97" i="1"/>
  <c r="R28" i="1"/>
  <c r="R37" i="1" s="1"/>
  <c r="G37" i="1"/>
  <c r="D112" i="1"/>
  <c r="C101" i="1"/>
  <c r="F93" i="1" l="1"/>
  <c r="P93" i="1"/>
  <c r="F92" i="1"/>
  <c r="P22" i="1"/>
  <c r="R67" i="1"/>
  <c r="R76" i="1" s="1"/>
  <c r="R88" i="1" s="1"/>
  <c r="G6" i="1" s="1"/>
  <c r="G76" i="1"/>
  <c r="P47" i="1"/>
  <c r="Q97" i="1"/>
  <c r="E112" i="1"/>
  <c r="D101" i="1"/>
  <c r="G92" i="1" l="1"/>
  <c r="G97" i="1"/>
  <c r="R97" i="1" s="1"/>
  <c r="G93" i="1"/>
  <c r="R93" i="1" s="1"/>
  <c r="Q93" i="1"/>
  <c r="R117" i="1"/>
  <c r="R126" i="1" s="1"/>
  <c r="R138" i="1" s="1"/>
  <c r="G8" i="1" s="1"/>
  <c r="G126" i="1"/>
  <c r="G151" i="1"/>
  <c r="R142" i="1"/>
  <c r="R151" i="1" s="1"/>
  <c r="R163" i="1" s="1"/>
  <c r="G9" i="1" s="1"/>
  <c r="R167" i="1"/>
  <c r="R176" i="1" s="1"/>
  <c r="R188" i="1" s="1"/>
  <c r="G10" i="1" s="1"/>
  <c r="G176" i="1"/>
  <c r="Q22" i="1"/>
  <c r="R22" i="1"/>
  <c r="R47" i="1"/>
  <c r="Q47" i="1"/>
  <c r="F112" i="1"/>
  <c r="P92" i="1"/>
  <c r="P101" i="1" s="1"/>
  <c r="P113" i="1" s="1"/>
  <c r="E7" i="1" s="1"/>
  <c r="E101" i="1"/>
  <c r="G112" i="1" l="1"/>
  <c r="R103" i="1"/>
  <c r="R112" i="1" s="1"/>
  <c r="Q92" i="1"/>
  <c r="Q101" i="1" s="1"/>
  <c r="Q113" i="1" s="1"/>
  <c r="F7" i="1" s="1"/>
  <c r="F101" i="1"/>
  <c r="G101" i="1" l="1"/>
  <c r="C26" i="1" l="1"/>
  <c r="R92" i="1"/>
  <c r="R101" i="1" s="1"/>
  <c r="R113" i="1" s="1"/>
  <c r="G7" i="1" s="1"/>
  <c r="D51" i="1"/>
  <c r="C51" i="1"/>
  <c r="D26" i="1" l="1"/>
  <c r="E51" i="1"/>
  <c r="P42" i="1"/>
  <c r="P51" i="1" s="1"/>
  <c r="P63" i="1" s="1"/>
  <c r="E5" i="1" s="1"/>
  <c r="P17" i="1" l="1"/>
  <c r="P26" i="1" s="1"/>
  <c r="P38" i="1" s="1"/>
  <c r="E4" i="1" s="1"/>
  <c r="E11" i="1" s="1"/>
  <c r="E26" i="1"/>
  <c r="Q42" i="1"/>
  <c r="Q51" i="1" s="1"/>
  <c r="Q63" i="1" s="1"/>
  <c r="F5" i="1" s="1"/>
  <c r="F51" i="1"/>
  <c r="Q17" i="1" l="1"/>
  <c r="Q26" i="1" s="1"/>
  <c r="Q38" i="1" s="1"/>
  <c r="F4" i="1" s="1"/>
  <c r="F11" i="1" s="1"/>
  <c r="F26" i="1"/>
  <c r="G51" i="1"/>
  <c r="R42" i="1"/>
  <c r="R51" i="1" s="1"/>
  <c r="R63" i="1" s="1"/>
  <c r="G5" i="1" s="1"/>
  <c r="G26" i="1" l="1"/>
  <c r="R17" i="1"/>
  <c r="R26" i="1" s="1"/>
  <c r="R38" i="1" s="1"/>
  <c r="G4" i="1" s="1"/>
  <c r="G11" i="1" s="1"/>
</calcChain>
</file>

<file path=xl/sharedStrings.xml><?xml version="1.0" encoding="utf-8"?>
<sst xmlns="http://schemas.openxmlformats.org/spreadsheetml/2006/main" count="270" uniqueCount="59">
  <si>
    <t>Regulated Entities</t>
  </si>
  <si>
    <t>Boston Gas Company d/b/a National Grid</t>
  </si>
  <si>
    <t>Colonial Gas Company d/b/a National Grid</t>
  </si>
  <si>
    <t>Bay State Gas Company d/b/a Columbia Gas of Massachusetts</t>
  </si>
  <si>
    <t>The Berkshire Gas Company</t>
  </si>
  <si>
    <t>Fitchburg Gas and Electric Light Company d/b/a Unitil</t>
  </si>
  <si>
    <t>Liberty Utilities (New England Natural Gas Company) Corp. d/b/a Liberty Utilities</t>
  </si>
  <si>
    <t>NSTAR Gas Company d/b/a Eversource Energy</t>
  </si>
  <si>
    <t>Total</t>
  </si>
  <si>
    <t>Steel, Cathodically Unprotected and Uncoated</t>
  </si>
  <si>
    <t>Steel, Cathodically Unprotected and Coated</t>
  </si>
  <si>
    <t>Steel, Cathodically Protected and Uncoated</t>
  </si>
  <si>
    <t>Steel, Cathodically Protected and Coated</t>
  </si>
  <si>
    <t>Plastic</t>
  </si>
  <si>
    <t>Cast or Wrought Iron</t>
  </si>
  <si>
    <t>Ductile Iron</t>
  </si>
  <si>
    <t>Copper</t>
  </si>
  <si>
    <t>Other</t>
  </si>
  <si>
    <t>services</t>
  </si>
  <si>
    <t>miles</t>
  </si>
  <si>
    <t>cast iron</t>
  </si>
  <si>
    <t>unprotected steel</t>
  </si>
  <si>
    <t>protected steel</t>
  </si>
  <si>
    <t>plastic</t>
  </si>
  <si>
    <t>copper</t>
  </si>
  <si>
    <t>kg/scf=MT CH4/1000scf</t>
  </si>
  <si>
    <t>GWP</t>
  </si>
  <si>
    <t>Berkshire</t>
  </si>
  <si>
    <t>Miles</t>
  </si>
  <si>
    <t>Services</t>
  </si>
  <si>
    <t>Miles Total</t>
  </si>
  <si>
    <t>Services Total</t>
  </si>
  <si>
    <t>metric tons CO2e</t>
  </si>
  <si>
    <t>actual</t>
  </si>
  <si>
    <t>projected</t>
  </si>
  <si>
    <t>Boston Gas</t>
  </si>
  <si>
    <t>Colonial Gas</t>
  </si>
  <si>
    <t>projected growth</t>
  </si>
  <si>
    <r>
      <t xml:space="preserve">reductions (DPU 16-GSEP-02, </t>
    </r>
    <r>
      <rPr>
        <i/>
        <sz val="11"/>
        <rFont val="Calibri"/>
        <family val="2"/>
        <scheme val="minor"/>
      </rPr>
      <t xml:space="preserve">15-GSEP-02, and </t>
    </r>
    <r>
      <rPr>
        <i/>
        <u/>
        <sz val="11"/>
        <rFont val="Calibri"/>
        <family val="2"/>
        <scheme val="minor"/>
      </rPr>
      <t>14-131</t>
    </r>
    <r>
      <rPr>
        <sz val="11"/>
        <rFont val="Calibri"/>
        <family val="2"/>
        <scheme val="minor"/>
      </rPr>
      <t>)</t>
    </r>
  </si>
  <si>
    <t>Essex Gas</t>
  </si>
  <si>
    <t>Colonial Cape Cod</t>
  </si>
  <si>
    <t>Colonial Lowell</t>
  </si>
  <si>
    <t>Columbia</t>
  </si>
  <si>
    <t>Unitil</t>
  </si>
  <si>
    <t>Eversource</t>
  </si>
  <si>
    <t>Liberty</t>
  </si>
  <si>
    <r>
      <t xml:space="preserve">reductions (DPU 16-GSEP-03, </t>
    </r>
    <r>
      <rPr>
        <i/>
        <sz val="11"/>
        <color theme="1"/>
        <rFont val="Calibri"/>
        <family val="2"/>
        <scheme val="minor"/>
      </rPr>
      <t>14-132</t>
    </r>
    <r>
      <rPr>
        <sz val="11"/>
        <color theme="1"/>
        <rFont val="Calibri"/>
        <family val="2"/>
        <scheme val="minor"/>
      </rPr>
      <t>)</t>
    </r>
  </si>
  <si>
    <t>CI miles</t>
  </si>
  <si>
    <t>Unprot steel miles</t>
  </si>
  <si>
    <r>
      <t>reductions (DPU 16-GSEP-05</t>
    </r>
    <r>
      <rPr>
        <sz val="11"/>
        <rFont val="Calibri"/>
        <family val="2"/>
        <scheme val="minor"/>
      </rPr>
      <t>)</t>
    </r>
  </si>
  <si>
    <r>
      <t xml:space="preserve">reductions (DPU 16-GSEP-01 and </t>
    </r>
    <r>
      <rPr>
        <i/>
        <sz val="11"/>
        <rFont val="Calibri"/>
        <family val="2"/>
        <scheme val="minor"/>
      </rPr>
      <t>15-GSEP-01</t>
    </r>
    <r>
      <rPr>
        <sz val="11"/>
        <rFont val="Calibri"/>
        <family val="2"/>
        <scheme val="minor"/>
      </rPr>
      <t>)</t>
    </r>
  </si>
  <si>
    <r>
      <t>reductions (DPU 16-GSEP-04</t>
    </r>
    <r>
      <rPr>
        <sz val="11"/>
        <rFont val="Calibri"/>
        <family val="2"/>
        <scheme val="minor"/>
      </rPr>
      <t>)</t>
    </r>
  </si>
  <si>
    <r>
      <t>reductions (DPU 16-GSEP-06</t>
    </r>
    <r>
      <rPr>
        <sz val="11"/>
        <rFont val="Calibri"/>
        <family val="2"/>
        <scheme val="minor"/>
      </rPr>
      <t>)</t>
    </r>
  </si>
  <si>
    <t>pipelines</t>
  </si>
  <si>
    <t>scf/mile-yr</t>
  </si>
  <si>
    <t>scf/service-yr</t>
  </si>
  <si>
    <t>metric ton CO2e/mile-yr</t>
  </si>
  <si>
    <t>metric ton CO2e/service-yr</t>
  </si>
  <si>
    <t>Appendix A. Calculation of Gas Operator Limits for 310 CMR 7.73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</si>
</sst>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/>
    <xf numFmtId="9" fontId="0" fillId="0" borderId="0" xfId="1" applyFont="1" applyBorder="1"/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Fill="1" applyBorder="1"/>
    <xf numFmtId="2" fontId="0" fillId="0" borderId="0" xfId="0" applyNumberFormat="1" applyFont="1" applyBorder="1"/>
    <xf numFmtId="1" fontId="0" fillId="0" borderId="0" xfId="0" applyNumberFormat="1" applyFont="1" applyBorder="1"/>
    <xf numFmtId="1" fontId="0" fillId="0" borderId="0" xfId="0" applyNumberFormat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/>
    <xf numFmtId="1" fontId="5" fillId="0" borderId="0" xfId="0" applyNumberFormat="1" applyFont="1" applyFill="1" applyBorder="1"/>
    <xf numFmtId="1" fontId="8" fillId="0" borderId="0" xfId="0" applyNumberFormat="1" applyFont="1" applyFill="1" applyBorder="1"/>
    <xf numFmtId="165" fontId="0" fillId="0" borderId="0" xfId="0" applyNumberFormat="1" applyFont="1" applyFill="1" applyBorder="1"/>
    <xf numFmtId="9" fontId="0" fillId="0" borderId="0" xfId="1" applyFont="1" applyFill="1" applyBorder="1"/>
    <xf numFmtId="0" fontId="2" fillId="0" borderId="0" xfId="0" applyFont="1" applyFill="1" applyBorder="1"/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0" fontId="6" fillId="0" borderId="0" xfId="0" applyFont="1" applyFill="1" applyBorder="1"/>
    <xf numFmtId="3" fontId="0" fillId="0" borderId="0" xfId="0" applyNumberFormat="1" applyFont="1" applyBorder="1"/>
    <xf numFmtId="2" fontId="5" fillId="0" borderId="0" xfId="0" applyNumberFormat="1" applyFont="1" applyFill="1" applyBorder="1"/>
    <xf numFmtId="164" fontId="5" fillId="0" borderId="0" xfId="0" applyNumberFormat="1" applyFont="1" applyFill="1" applyBorder="1"/>
    <xf numFmtId="1" fontId="2" fillId="0" borderId="0" xfId="0" applyNumberFormat="1" applyFont="1" applyFill="1" applyBorder="1"/>
    <xf numFmtId="165" fontId="0" fillId="0" borderId="0" xfId="0" applyNumberFormat="1" applyFont="1" applyBorder="1"/>
    <xf numFmtId="0" fontId="4" fillId="0" borderId="1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3" fillId="0" borderId="4" xfId="0" applyFont="1" applyFill="1" applyBorder="1"/>
    <xf numFmtId="0" fontId="0" fillId="0" borderId="5" xfId="0" applyFont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7" xfId="0" applyFont="1" applyBorder="1"/>
    <xf numFmtId="1" fontId="0" fillId="0" borderId="7" xfId="0" applyNumberFormat="1" applyFont="1" applyBorder="1"/>
    <xf numFmtId="0" fontId="0" fillId="0" borderId="8" xfId="0" applyFont="1" applyBorder="1"/>
    <xf numFmtId="0" fontId="0" fillId="0" borderId="2" xfId="0" applyFont="1" applyFill="1" applyBorder="1" applyAlignment="1">
      <alignment horizontal="center"/>
    </xf>
    <xf numFmtId="0" fontId="5" fillId="0" borderId="2" xfId="0" applyFont="1" applyBorder="1"/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8" xfId="0" applyNumberFormat="1" applyFont="1" applyBorder="1"/>
    <xf numFmtId="0" fontId="0" fillId="0" borderId="1" xfId="0" applyFont="1" applyFill="1" applyBorder="1"/>
    <xf numFmtId="3" fontId="0" fillId="0" borderId="5" xfId="0" applyNumberFormat="1" applyFont="1" applyBorder="1"/>
    <xf numFmtId="3" fontId="0" fillId="0" borderId="7" xfId="0" applyNumberFormat="1" applyFont="1" applyBorder="1"/>
    <xf numFmtId="3" fontId="0" fillId="0" borderId="8" xfId="0" applyNumberFormat="1" applyFont="1" applyBorder="1"/>
    <xf numFmtId="166" fontId="0" fillId="0" borderId="0" xfId="0" applyNumberFormat="1" applyFont="1" applyBorder="1"/>
    <xf numFmtId="0" fontId="0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tabSelected="1" zoomScaleNormal="100" workbookViewId="0">
      <selection sqref="A1:U1"/>
    </sheetView>
  </sheetViews>
  <sheetFormatPr defaultRowHeight="15" x14ac:dyDescent="0.25"/>
  <cols>
    <col min="1" max="1" width="42.5703125" style="5" customWidth="1"/>
    <col min="2" max="4" width="8.5703125" style="3" customWidth="1"/>
    <col min="5" max="5" width="9.5703125" style="3" bestFit="1" customWidth="1"/>
    <col min="6" max="6" width="10.5703125" style="3" bestFit="1" customWidth="1"/>
    <col min="7" max="7" width="11.5703125" style="3" bestFit="1" customWidth="1"/>
    <col min="8" max="8" width="7.5703125" style="3" bestFit="1" customWidth="1"/>
    <col min="9" max="13" width="6.5703125" style="3" customWidth="1"/>
    <col min="14" max="14" width="8.140625" style="3" bestFit="1" customWidth="1"/>
    <col min="15" max="15" width="9.140625" style="3"/>
    <col min="16" max="17" width="7" style="3" customWidth="1"/>
    <col min="18" max="18" width="6.5703125" style="3" customWidth="1"/>
    <col min="19" max="19" width="9.5703125" style="3" bestFit="1" customWidth="1"/>
    <col min="20" max="20" width="9.140625" style="3"/>
    <col min="21" max="21" width="16.85546875" style="3" customWidth="1"/>
    <col min="22" max="22" width="9.140625" style="3" customWidth="1"/>
    <col min="23" max="23" width="9.140625" style="3"/>
    <col min="24" max="25" width="9.140625" style="3" customWidth="1"/>
    <col min="26" max="16384" width="9.140625" style="3"/>
  </cols>
  <sheetData>
    <row r="1" spans="1:23" ht="21" x14ac:dyDescent="0.3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3" x14ac:dyDescent="0.25">
      <c r="A2" s="42"/>
      <c r="B2" s="27"/>
      <c r="C2" s="27"/>
      <c r="D2" s="27"/>
      <c r="E2" s="47" t="s">
        <v>32</v>
      </c>
      <c r="F2" s="47"/>
      <c r="G2" s="51"/>
    </row>
    <row r="3" spans="1:23" x14ac:dyDescent="0.25">
      <c r="A3" s="29" t="s">
        <v>0</v>
      </c>
      <c r="E3" s="3">
        <v>2018</v>
      </c>
      <c r="F3" s="3">
        <v>2019</v>
      </c>
      <c r="G3" s="30">
        <v>2020</v>
      </c>
      <c r="Q3" s="9" t="s">
        <v>53</v>
      </c>
      <c r="R3" s="3" t="s">
        <v>54</v>
      </c>
      <c r="S3" s="3" t="s">
        <v>56</v>
      </c>
    </row>
    <row r="4" spans="1:23" x14ac:dyDescent="0.25">
      <c r="A4" s="31" t="s">
        <v>1</v>
      </c>
      <c r="E4" s="20">
        <f>P38</f>
        <v>105603.50608763998</v>
      </c>
      <c r="F4" s="20">
        <f t="shared" ref="F4:G4" si="0">Q38</f>
        <v>102124.44030522482</v>
      </c>
      <c r="G4" s="43">
        <f t="shared" si="0"/>
        <v>98183.562067487044</v>
      </c>
      <c r="I4" s="5">
        <v>1.9199999999999998E-2</v>
      </c>
      <c r="J4" s="5" t="s">
        <v>25</v>
      </c>
      <c r="Q4" s="9" t="s">
        <v>20</v>
      </c>
      <c r="R4" s="4">
        <v>59715.052801211976</v>
      </c>
      <c r="S4" s="46">
        <f>R4*I$4*I$5/1000</f>
        <v>28.663225344581747</v>
      </c>
      <c r="W4" s="5"/>
    </row>
    <row r="5" spans="1:23" x14ac:dyDescent="0.25">
      <c r="A5" s="31" t="s">
        <v>2</v>
      </c>
      <c r="E5" s="20">
        <f>P63</f>
        <v>11451.510485852588</v>
      </c>
      <c r="F5" s="20">
        <f t="shared" ref="F5:G5" si="1">Q63</f>
        <v>10600.688016918308</v>
      </c>
      <c r="G5" s="43">
        <f t="shared" si="1"/>
        <v>9823.6184190361582</v>
      </c>
      <c r="I5" s="5">
        <v>25</v>
      </c>
      <c r="J5" s="3" t="s">
        <v>26</v>
      </c>
      <c r="Q5" s="9" t="s">
        <v>21</v>
      </c>
      <c r="R5" s="4">
        <v>42254.121610189046</v>
      </c>
      <c r="S5" s="46">
        <f t="shared" ref="S5:S13" si="2">R5*I$4*I$5/1000</f>
        <v>20.281978372890737</v>
      </c>
    </row>
    <row r="6" spans="1:23" x14ac:dyDescent="0.25">
      <c r="A6" s="31" t="s">
        <v>3</v>
      </c>
      <c r="E6" s="20">
        <f>P88</f>
        <v>29150.165143918577</v>
      </c>
      <c r="F6" s="20">
        <f t="shared" ref="F6:G6" si="3">Q88</f>
        <v>27194.275369799096</v>
      </c>
      <c r="G6" s="43">
        <f t="shared" si="3"/>
        <v>25109.287300471791</v>
      </c>
      <c r="Q6" s="9" t="s">
        <v>22</v>
      </c>
      <c r="R6" s="4">
        <v>3758.4454507863666</v>
      </c>
      <c r="S6" s="46">
        <f t="shared" si="2"/>
        <v>1.8040538163774555</v>
      </c>
    </row>
    <row r="7" spans="1:23" x14ac:dyDescent="0.25">
      <c r="A7" s="31" t="s">
        <v>4</v>
      </c>
      <c r="E7" s="20">
        <f>P113</f>
        <v>4018.6445652421276</v>
      </c>
      <c r="F7" s="20">
        <f>Q113</f>
        <v>3800.4131448449643</v>
      </c>
      <c r="G7" s="43">
        <f>R113</f>
        <v>3654.8332249810901</v>
      </c>
      <c r="Q7" s="9" t="s">
        <v>23</v>
      </c>
      <c r="R7" s="4">
        <v>449.1316640363371</v>
      </c>
      <c r="S7" s="46">
        <f t="shared" si="2"/>
        <v>0.21558319873744178</v>
      </c>
    </row>
    <row r="8" spans="1:23" x14ac:dyDescent="0.25">
      <c r="A8" s="31" t="s">
        <v>5</v>
      </c>
      <c r="E8" s="20">
        <f>P138</f>
        <v>2107.3703021261072</v>
      </c>
      <c r="F8" s="20">
        <f t="shared" ref="F8:G8" si="4">Q138</f>
        <v>1998.1957844736999</v>
      </c>
      <c r="G8" s="43">
        <f t="shared" si="4"/>
        <v>1906.0081294004433</v>
      </c>
      <c r="Q8" s="9"/>
      <c r="R8" s="4"/>
      <c r="S8" s="46"/>
    </row>
    <row r="9" spans="1:23" x14ac:dyDescent="0.25">
      <c r="A9" s="31" t="s">
        <v>6</v>
      </c>
      <c r="E9" s="20">
        <f>P163</f>
        <v>6291.2453223844177</v>
      </c>
      <c r="F9" s="20">
        <f t="shared" ref="F9:G9" si="5">Q163</f>
        <v>5855.4170467585009</v>
      </c>
      <c r="G9" s="43">
        <f t="shared" si="5"/>
        <v>5419.7935756882007</v>
      </c>
      <c r="Q9" s="10" t="s">
        <v>18</v>
      </c>
      <c r="R9" s="4" t="s">
        <v>55</v>
      </c>
      <c r="S9" s="4" t="s">
        <v>57</v>
      </c>
    </row>
    <row r="10" spans="1:23" x14ac:dyDescent="0.25">
      <c r="A10" s="31" t="s">
        <v>7</v>
      </c>
      <c r="E10" s="20">
        <f>P188</f>
        <v>28684.891451875759</v>
      </c>
      <c r="F10" s="20">
        <f t="shared" ref="F10:G10" si="6">Q188</f>
        <v>27043.297168768888</v>
      </c>
      <c r="G10" s="43">
        <f t="shared" si="6"/>
        <v>25411.603274412606</v>
      </c>
      <c r="Q10" s="9" t="s">
        <v>21</v>
      </c>
      <c r="R10" s="4">
        <v>269.97788749964099</v>
      </c>
      <c r="S10" s="46">
        <f t="shared" si="2"/>
        <v>0.12958938599982764</v>
      </c>
    </row>
    <row r="11" spans="1:23" x14ac:dyDescent="0.25">
      <c r="A11" s="32" t="s">
        <v>8</v>
      </c>
      <c r="B11" s="34"/>
      <c r="C11" s="34"/>
      <c r="D11" s="34"/>
      <c r="E11" s="44">
        <f>SUM(E4:E10)</f>
        <v>187307.33335903956</v>
      </c>
      <c r="F11" s="44">
        <f t="shared" ref="F11:G11" si="7">SUM(F4:F10)</f>
        <v>178616.72683678826</v>
      </c>
      <c r="G11" s="45">
        <f t="shared" si="7"/>
        <v>169508.70599147733</v>
      </c>
      <c r="Q11" s="9" t="s">
        <v>22</v>
      </c>
      <c r="R11" s="4">
        <v>116.62819262410119</v>
      </c>
      <c r="S11" s="46">
        <f t="shared" si="2"/>
        <v>5.5981532459568564E-2</v>
      </c>
    </row>
    <row r="12" spans="1:23" x14ac:dyDescent="0.25">
      <c r="Q12" s="9" t="s">
        <v>23</v>
      </c>
      <c r="R12" s="4">
        <v>10.699051739879479</v>
      </c>
      <c r="S12" s="46">
        <f t="shared" si="2"/>
        <v>5.1355448351421496E-3</v>
      </c>
    </row>
    <row r="13" spans="1:23" x14ac:dyDescent="0.25">
      <c r="Q13" s="10" t="s">
        <v>24</v>
      </c>
      <c r="R13" s="4">
        <v>254</v>
      </c>
      <c r="S13" s="46">
        <f t="shared" si="2"/>
        <v>0.12191999999999999</v>
      </c>
    </row>
    <row r="15" spans="1:23" x14ac:dyDescent="0.25">
      <c r="A15" s="25" t="s">
        <v>35</v>
      </c>
      <c r="B15" s="26" t="s">
        <v>33</v>
      </c>
      <c r="C15" s="47" t="s">
        <v>34</v>
      </c>
      <c r="D15" s="47"/>
      <c r="E15" s="47"/>
      <c r="F15" s="47"/>
      <c r="G15" s="47"/>
      <c r="H15" s="27"/>
      <c r="I15" s="28" t="s">
        <v>46</v>
      </c>
      <c r="J15" s="27"/>
      <c r="K15" s="27"/>
      <c r="L15" s="27"/>
      <c r="M15" s="27"/>
      <c r="N15" s="27"/>
      <c r="O15" s="27"/>
      <c r="P15" s="48" t="s">
        <v>32</v>
      </c>
      <c r="Q15" s="48"/>
      <c r="R15" s="48"/>
      <c r="S15" s="27"/>
      <c r="T15" s="47">
        <v>2015</v>
      </c>
      <c r="U15" s="51"/>
    </row>
    <row r="16" spans="1:23" x14ac:dyDescent="0.25">
      <c r="A16" s="29" t="s">
        <v>28</v>
      </c>
      <c r="B16" s="3">
        <v>2015</v>
      </c>
      <c r="C16" s="3">
        <v>2016</v>
      </c>
      <c r="D16" s="3">
        <v>2017</v>
      </c>
      <c r="E16" s="3">
        <v>2018</v>
      </c>
      <c r="F16" s="3">
        <v>2019</v>
      </c>
      <c r="G16" s="3">
        <v>2020</v>
      </c>
      <c r="I16" s="3">
        <v>2016</v>
      </c>
      <c r="J16" s="3">
        <v>2017</v>
      </c>
      <c r="K16" s="3">
        <v>2018</v>
      </c>
      <c r="L16" s="3">
        <v>2019</v>
      </c>
      <c r="M16" s="3">
        <v>2020</v>
      </c>
      <c r="P16" s="3">
        <v>2018</v>
      </c>
      <c r="Q16" s="3">
        <v>2019</v>
      </c>
      <c r="R16" s="3">
        <v>2020</v>
      </c>
      <c r="T16" s="3" t="s">
        <v>35</v>
      </c>
      <c r="U16" s="30" t="s">
        <v>39</v>
      </c>
    </row>
    <row r="17" spans="1:21" x14ac:dyDescent="0.25">
      <c r="A17" s="31" t="s">
        <v>9</v>
      </c>
      <c r="B17" s="14">
        <f>T17+U17</f>
        <v>732.16899999999998</v>
      </c>
      <c r="C17" s="14">
        <f>B17-(I17*J18/(J17+J18)*B17/(B$17+B$18))</f>
        <v>704.26773320522796</v>
      </c>
      <c r="D17" s="14">
        <f t="shared" ref="D17:G18" si="8">C17-(J$18*C17/(C$17+C$18))</f>
        <v>674.97140307071732</v>
      </c>
      <c r="E17" s="14">
        <f t="shared" si="8"/>
        <v>656.05085652551259</v>
      </c>
      <c r="F17" s="14">
        <f t="shared" si="8"/>
        <v>636.51996976917223</v>
      </c>
      <c r="G17" s="14">
        <f t="shared" si="8"/>
        <v>613.93738195715366</v>
      </c>
      <c r="H17" s="15"/>
      <c r="I17" s="52">
        <v>100</v>
      </c>
      <c r="J17" s="11">
        <v>57</v>
      </c>
      <c r="K17" s="11">
        <v>79</v>
      </c>
      <c r="L17" s="11">
        <v>83</v>
      </c>
      <c r="M17" s="11">
        <v>94</v>
      </c>
      <c r="N17" s="5" t="s">
        <v>47</v>
      </c>
      <c r="P17" s="7">
        <f t="shared" ref="P17:R18" si="9">E17*$R$5*$I$4*$I$5/1000</f>
        <v>13306.009283566891</v>
      </c>
      <c r="Q17" s="7">
        <f t="shared" si="9"/>
        <v>12909.88426077142</v>
      </c>
      <c r="R17" s="7">
        <f t="shared" si="9"/>
        <v>12451.864703164152</v>
      </c>
      <c r="T17" s="3">
        <v>722.69200000000001</v>
      </c>
      <c r="U17" s="30">
        <v>9.4770000000000003</v>
      </c>
    </row>
    <row r="18" spans="1:21" x14ac:dyDescent="0.25">
      <c r="A18" s="31" t="s">
        <v>10</v>
      </c>
      <c r="B18" s="14">
        <f t="shared" ref="B18:B37" si="10">T18+U18</f>
        <v>467.43899999999996</v>
      </c>
      <c r="C18" s="14">
        <f>B18-(I17*J18/(J17+J18)*B18/(B$17+B$18))</f>
        <v>449.62598108048627</v>
      </c>
      <c r="D18" s="14">
        <f t="shared" si="8"/>
        <v>430.92231121499685</v>
      </c>
      <c r="E18" s="14">
        <f t="shared" si="8"/>
        <v>418.84285776020164</v>
      </c>
      <c r="F18" s="14">
        <f t="shared" si="8"/>
        <v>406.37374451654205</v>
      </c>
      <c r="G18" s="14">
        <f t="shared" si="8"/>
        <v>391.95633232856062</v>
      </c>
      <c r="H18" s="15"/>
      <c r="I18" s="52"/>
      <c r="J18" s="3">
        <v>48</v>
      </c>
      <c r="K18" s="3">
        <v>31</v>
      </c>
      <c r="L18" s="3">
        <v>32</v>
      </c>
      <c r="M18" s="3">
        <v>37</v>
      </c>
      <c r="N18" s="5" t="s">
        <v>48</v>
      </c>
      <c r="P18" s="7">
        <f t="shared" si="9"/>
        <v>8494.9617827321617</v>
      </c>
      <c r="Q18" s="7">
        <f t="shared" si="9"/>
        <v>8242.0634975951325</v>
      </c>
      <c r="R18" s="7">
        <f t="shared" si="9"/>
        <v>7949.6498554054415</v>
      </c>
      <c r="T18" s="3">
        <v>457.92399999999998</v>
      </c>
      <c r="U18" s="30">
        <v>9.5150000000000006</v>
      </c>
    </row>
    <row r="19" spans="1:21" x14ac:dyDescent="0.25">
      <c r="A19" s="31" t="s">
        <v>11</v>
      </c>
      <c r="B19" s="14">
        <f t="shared" si="10"/>
        <v>139.97499999999999</v>
      </c>
      <c r="C19" s="14">
        <f>B19</f>
        <v>139.97499999999999</v>
      </c>
      <c r="D19" s="14">
        <f t="shared" ref="D19" si="11">C19</f>
        <v>139.97499999999999</v>
      </c>
      <c r="E19" s="14">
        <f t="shared" ref="E19" si="12">D19</f>
        <v>139.97499999999999</v>
      </c>
      <c r="F19" s="14">
        <f t="shared" ref="F19" si="13">E19</f>
        <v>139.97499999999999</v>
      </c>
      <c r="G19" s="14">
        <f t="shared" ref="G19" si="14">F19</f>
        <v>139.97499999999999</v>
      </c>
      <c r="H19" s="15"/>
      <c r="I19" s="5">
        <v>500</v>
      </c>
      <c r="J19" s="19">
        <f>1000+J17*($B$28+$B$29+$B$33)/($B$17+$B$18+$B$22)</f>
        <v>3030.9066510106513</v>
      </c>
      <c r="K19" s="19">
        <f>1000+K17*($B$28+$B$29+$B$33)/($B$17+$B$18+$B$22)</f>
        <v>3814.7653584182717</v>
      </c>
      <c r="L19" s="19">
        <f>1000+L17*($B$28+$B$29+$B$33)/($B$17+$B$18+$B$22)</f>
        <v>3957.2851234014752</v>
      </c>
      <c r="M19" s="19">
        <f>1000+M17*($B$28+$B$29+$B$33)/($B$17+$B$18+$B$22)</f>
        <v>4349.2144771052854</v>
      </c>
      <c r="N19" s="3" t="s">
        <v>18</v>
      </c>
      <c r="P19" s="7">
        <f t="shared" ref="P19:R20" si="15">E19*$R$6*$I$4*$I$5/1000</f>
        <v>252.5224329474344</v>
      </c>
      <c r="Q19" s="7">
        <f t="shared" si="15"/>
        <v>252.5224329474344</v>
      </c>
      <c r="R19" s="7">
        <f t="shared" si="15"/>
        <v>252.5224329474344</v>
      </c>
      <c r="T19" s="3">
        <v>127.53100000000001</v>
      </c>
      <c r="U19" s="30">
        <v>12.444000000000001</v>
      </c>
    </row>
    <row r="20" spans="1:21" x14ac:dyDescent="0.25">
      <c r="A20" s="31" t="s">
        <v>12</v>
      </c>
      <c r="B20" s="14">
        <f t="shared" si="10"/>
        <v>1190.511</v>
      </c>
      <c r="C20" s="14">
        <f>B20</f>
        <v>1190.511</v>
      </c>
      <c r="D20" s="14">
        <f t="shared" ref="D20" si="16">C20</f>
        <v>1190.511</v>
      </c>
      <c r="E20" s="14">
        <f t="shared" ref="E20" si="17">D20</f>
        <v>1190.511</v>
      </c>
      <c r="F20" s="14">
        <f t="shared" ref="F20" si="18">E20</f>
        <v>1190.511</v>
      </c>
      <c r="G20" s="14">
        <f t="shared" ref="G20" si="19">F20</f>
        <v>1190.511</v>
      </c>
      <c r="H20" s="15"/>
      <c r="I20" s="5"/>
      <c r="J20" s="5"/>
      <c r="K20" s="5"/>
      <c r="L20" s="5"/>
      <c r="M20" s="5"/>
      <c r="P20" s="7">
        <f t="shared" si="15"/>
        <v>2147.7459129893414</v>
      </c>
      <c r="Q20" s="7">
        <f t="shared" si="15"/>
        <v>2147.7459129893414</v>
      </c>
      <c r="R20" s="7">
        <f t="shared" si="15"/>
        <v>2147.7459129893414</v>
      </c>
      <c r="T20" s="3">
        <v>868.76199999999994</v>
      </c>
      <c r="U20" s="30">
        <v>321.74900000000002</v>
      </c>
    </row>
    <row r="21" spans="1:21" x14ac:dyDescent="0.25">
      <c r="A21" s="31" t="s">
        <v>13</v>
      </c>
      <c r="B21" s="14">
        <f t="shared" si="10"/>
        <v>2712.7449999999999</v>
      </c>
      <c r="C21" s="14">
        <f>B21+I17+I22</f>
        <v>2831.3704051856043</v>
      </c>
      <c r="D21" s="14">
        <f>C21+J17+J22</f>
        <v>2908.2913244815691</v>
      </c>
      <c r="E21" s="14">
        <f>D21+K17+K22</f>
        <v>3007.0268531550573</v>
      </c>
      <c r="F21" s="14">
        <f>E21+L17+L22</f>
        <v>3110.8478359055871</v>
      </c>
      <c r="G21" s="14">
        <f>F21+M17+M22</f>
        <v>3226.8139727073963</v>
      </c>
      <c r="H21" s="15"/>
      <c r="I21" s="5" t="s">
        <v>37</v>
      </c>
      <c r="J21" s="5"/>
      <c r="K21" s="5"/>
      <c r="L21" s="5"/>
      <c r="M21" s="5"/>
      <c r="P21" s="7">
        <f>E21*$R$7*$I$4*$I$5/1000</f>
        <v>648.26446769255085</v>
      </c>
      <c r="Q21" s="7">
        <f>F21*$R$7*$I$4*$I$5/1000</f>
        <v>670.64652724997495</v>
      </c>
      <c r="R21" s="7">
        <f>G21*$R$7*$I$4*$I$5/1000</f>
        <v>695.64687796693261</v>
      </c>
      <c r="T21" s="3">
        <v>2279.116</v>
      </c>
      <c r="U21" s="30">
        <v>433.62900000000002</v>
      </c>
    </row>
    <row r="22" spans="1:21" x14ac:dyDescent="0.25">
      <c r="A22" s="31" t="s">
        <v>14</v>
      </c>
      <c r="B22" s="14">
        <f t="shared" si="10"/>
        <v>1971.9100000000003</v>
      </c>
      <c r="C22" s="14">
        <f>B22-(I17*J17/(J17+J18))</f>
        <v>1917.6242857142861</v>
      </c>
      <c r="D22" s="14">
        <f>C22-J17</f>
        <v>1860.6242857142861</v>
      </c>
      <c r="E22" s="14">
        <f>D22-K17</f>
        <v>1781.6242857142861</v>
      </c>
      <c r="F22" s="14">
        <f>E22-L17</f>
        <v>1698.6242857142861</v>
      </c>
      <c r="G22" s="14">
        <f>F22-M17</f>
        <v>1604.6242857142861</v>
      </c>
      <c r="H22" s="15"/>
      <c r="I22" s="14">
        <f>151000/5280*(B26/(B26+B51))</f>
        <v>18.62540518560435</v>
      </c>
      <c r="J22" s="14">
        <f>161503/5280*(B26/(B26+B51))</f>
        <v>19.92091929596463</v>
      </c>
      <c r="K22" s="14">
        <f>160000/5280*(B26/(B26+B51))</f>
        <v>19.735528673488052</v>
      </c>
      <c r="L22" s="14">
        <f>K22*1.055</f>
        <v>20.820982750529893</v>
      </c>
      <c r="M22" s="14">
        <f>L22*1.055</f>
        <v>21.966136801809036</v>
      </c>
      <c r="N22" s="3" t="s">
        <v>19</v>
      </c>
      <c r="P22" s="7">
        <f t="shared" ref="P22:R25" si="20">E22*$R$4*$I$4*$I$5/1000</f>
        <v>51067.098380808071</v>
      </c>
      <c r="Q22" s="7">
        <f t="shared" si="20"/>
        <v>48688.050677207793</v>
      </c>
      <c r="R22" s="7">
        <f t="shared" si="20"/>
        <v>45993.707494817107</v>
      </c>
      <c r="T22" s="3">
        <f>1888.351+4.9</f>
        <v>1893.2510000000002</v>
      </c>
      <c r="U22" s="30">
        <v>78.659000000000006</v>
      </c>
    </row>
    <row r="23" spans="1:21" x14ac:dyDescent="0.25">
      <c r="A23" s="31" t="s">
        <v>15</v>
      </c>
      <c r="B23" s="8">
        <f t="shared" si="10"/>
        <v>0</v>
      </c>
      <c r="C23" s="14"/>
      <c r="D23" s="14"/>
      <c r="E23" s="14"/>
      <c r="F23" s="14"/>
      <c r="G23" s="14"/>
      <c r="H23" s="5"/>
      <c r="I23" s="5">
        <f>6356*(B37/(B37+B62))</f>
        <v>4705.919639098398</v>
      </c>
      <c r="J23" s="5">
        <f>(4345+422)*(B37/(B37+B62))</f>
        <v>3529.439729323798</v>
      </c>
      <c r="K23" s="5">
        <f>4767*(B37/(B37+B62))</f>
        <v>3529.439729323798</v>
      </c>
      <c r="L23" s="5">
        <f>K23*1.055</f>
        <v>3723.5589144366068</v>
      </c>
      <c r="M23" s="5">
        <f>L23*1.055</f>
        <v>3928.35465473062</v>
      </c>
      <c r="N23" s="3" t="s">
        <v>18</v>
      </c>
      <c r="P23" s="7">
        <f t="shared" si="20"/>
        <v>0</v>
      </c>
      <c r="Q23" s="7">
        <f t="shared" si="20"/>
        <v>0</v>
      </c>
      <c r="R23" s="7">
        <f t="shared" si="20"/>
        <v>0</v>
      </c>
      <c r="T23" s="3">
        <v>0</v>
      </c>
      <c r="U23" s="30">
        <v>0</v>
      </c>
    </row>
    <row r="24" spans="1:21" x14ac:dyDescent="0.25">
      <c r="A24" s="31" t="s">
        <v>16</v>
      </c>
      <c r="B24" s="14">
        <f t="shared" si="10"/>
        <v>0.06</v>
      </c>
      <c r="C24" s="14">
        <f>B24</f>
        <v>0.06</v>
      </c>
      <c r="D24" s="14">
        <f t="shared" ref="D24:G24" si="21">C24</f>
        <v>0.06</v>
      </c>
      <c r="E24" s="14">
        <f t="shared" si="21"/>
        <v>0.06</v>
      </c>
      <c r="F24" s="14">
        <f t="shared" si="21"/>
        <v>0.06</v>
      </c>
      <c r="G24" s="14">
        <f t="shared" si="21"/>
        <v>0.06</v>
      </c>
      <c r="H24" s="5"/>
      <c r="I24" s="5"/>
      <c r="J24" s="5"/>
      <c r="K24" s="5"/>
      <c r="L24" s="5"/>
      <c r="M24" s="5"/>
      <c r="P24" s="7">
        <f t="shared" si="20"/>
        <v>1.7197935206749049</v>
      </c>
      <c r="Q24" s="7">
        <f t="shared" si="20"/>
        <v>1.7197935206749049</v>
      </c>
      <c r="R24" s="7">
        <f t="shared" si="20"/>
        <v>1.7197935206749049</v>
      </c>
      <c r="T24" s="3">
        <v>0.06</v>
      </c>
      <c r="U24" s="30">
        <v>0</v>
      </c>
    </row>
    <row r="25" spans="1:21" x14ac:dyDescent="0.25">
      <c r="A25" s="31" t="s">
        <v>17</v>
      </c>
      <c r="B25" s="8">
        <f t="shared" si="10"/>
        <v>0</v>
      </c>
      <c r="C25" s="14"/>
      <c r="D25" s="14"/>
      <c r="E25" s="14"/>
      <c r="F25" s="14"/>
      <c r="G25" s="14"/>
      <c r="H25" s="5"/>
      <c r="I25" s="5"/>
      <c r="J25" s="5"/>
      <c r="K25" s="5"/>
      <c r="L25" s="5"/>
      <c r="M25" s="5"/>
      <c r="P25" s="7">
        <f t="shared" si="20"/>
        <v>0</v>
      </c>
      <c r="Q25" s="7">
        <f t="shared" si="20"/>
        <v>0</v>
      </c>
      <c r="R25" s="7">
        <f t="shared" si="20"/>
        <v>0</v>
      </c>
      <c r="T25" s="3">
        <v>0</v>
      </c>
      <c r="U25" s="30">
        <v>0</v>
      </c>
    </row>
    <row r="26" spans="1:21" x14ac:dyDescent="0.25">
      <c r="A26" s="31" t="s">
        <v>30</v>
      </c>
      <c r="B26" s="14">
        <f t="shared" si="10"/>
        <v>7214.817</v>
      </c>
      <c r="C26" s="14">
        <f>SUM(C17:C25)</f>
        <v>7233.4344051856051</v>
      </c>
      <c r="D26" s="14">
        <f t="shared" ref="D26:G26" si="22">SUM(D17:D25)</f>
        <v>7205.3553244815694</v>
      </c>
      <c r="E26" s="14">
        <f t="shared" si="22"/>
        <v>7194.0908531550576</v>
      </c>
      <c r="F26" s="14">
        <f t="shared" si="22"/>
        <v>7182.9118359055874</v>
      </c>
      <c r="G26" s="14">
        <f t="shared" si="22"/>
        <v>7167.877972707397</v>
      </c>
      <c r="H26" s="5"/>
      <c r="I26" s="5"/>
      <c r="J26" s="5"/>
      <c r="K26" s="5"/>
      <c r="L26" s="5"/>
      <c r="M26" s="5"/>
      <c r="P26" s="8">
        <f>SUM(P17:P25)</f>
        <v>75918.322054257136</v>
      </c>
      <c r="Q26" s="8">
        <f t="shared" ref="Q26:R26" si="23">SUM(Q17:Q25)</f>
        <v>72912.633102281776</v>
      </c>
      <c r="R26" s="8">
        <f t="shared" si="23"/>
        <v>69492.857070811093</v>
      </c>
      <c r="T26" s="3">
        <v>6349.3440000000001</v>
      </c>
      <c r="U26" s="30">
        <v>865.47299999999996</v>
      </c>
    </row>
    <row r="27" spans="1:21" x14ac:dyDescent="0.25">
      <c r="A27" s="29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8"/>
      <c r="Q27" s="8"/>
      <c r="R27" s="8"/>
      <c r="U27" s="30"/>
    </row>
    <row r="28" spans="1:21" x14ac:dyDescent="0.25">
      <c r="A28" s="31" t="s">
        <v>9</v>
      </c>
      <c r="B28" s="5">
        <f t="shared" si="10"/>
        <v>89262</v>
      </c>
      <c r="C28" s="8">
        <f t="shared" ref="C28:G29" si="24">B28-(I$19*$B28/($B$28+$B$29+$B$33))</f>
        <v>88867.038893461126</v>
      </c>
      <c r="D28" s="8">
        <f t="shared" si="24"/>
        <v>86472.858404062688</v>
      </c>
      <c r="E28" s="8">
        <f t="shared" si="24"/>
        <v>83459.490509768555</v>
      </c>
      <c r="F28" s="8">
        <f t="shared" si="24"/>
        <v>80333.543087311569</v>
      </c>
      <c r="G28" s="8">
        <f t="shared" si="24"/>
        <v>76898.001962406735</v>
      </c>
      <c r="H28" s="5"/>
      <c r="I28" s="5"/>
      <c r="J28" s="5"/>
      <c r="K28" s="5"/>
      <c r="L28" s="5"/>
      <c r="M28" s="5"/>
      <c r="P28" s="7">
        <f t="shared" ref="P28:R29" si="25">E28*$R$10*$I$4*$I$5/1000</f>
        <v>10815.464131019353</v>
      </c>
      <c r="Q28" s="7">
        <f t="shared" si="25"/>
        <v>10410.374523875405</v>
      </c>
      <c r="R28" s="7">
        <f t="shared" si="25"/>
        <v>9965.1648589218312</v>
      </c>
      <c r="T28" s="3">
        <v>85337</v>
      </c>
      <c r="U28" s="30">
        <v>3925</v>
      </c>
    </row>
    <row r="29" spans="1:21" x14ac:dyDescent="0.25">
      <c r="A29" s="31" t="s">
        <v>10</v>
      </c>
      <c r="B29" s="5">
        <f t="shared" si="10"/>
        <v>22273</v>
      </c>
      <c r="C29" s="8">
        <f t="shared" si="24"/>
        <v>22174.447774798453</v>
      </c>
      <c r="D29" s="8">
        <f t="shared" si="24"/>
        <v>21577.042585127918</v>
      </c>
      <c r="E29" s="8">
        <f t="shared" si="24"/>
        <v>20825.135355740123</v>
      </c>
      <c r="F29" s="8">
        <f t="shared" si="24"/>
        <v>20045.136846403737</v>
      </c>
      <c r="G29" s="8">
        <f t="shared" si="24"/>
        <v>19187.887317208722</v>
      </c>
      <c r="H29" s="5"/>
      <c r="I29" s="5"/>
      <c r="J29" s="5"/>
      <c r="K29" s="5"/>
      <c r="L29" s="5"/>
      <c r="M29" s="5"/>
      <c r="P29" s="7">
        <f t="shared" si="25"/>
        <v>2698.716504113665</v>
      </c>
      <c r="Q29" s="7">
        <f t="shared" si="25"/>
        <v>2597.6369762079817</v>
      </c>
      <c r="R29" s="7">
        <f t="shared" si="25"/>
        <v>2486.5465360709591</v>
      </c>
      <c r="T29" s="3">
        <v>21608</v>
      </c>
      <c r="U29" s="30">
        <v>665</v>
      </c>
    </row>
    <row r="30" spans="1:21" x14ac:dyDescent="0.25">
      <c r="A30" s="31" t="s">
        <v>11</v>
      </c>
      <c r="B30" s="5">
        <f t="shared" si="10"/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7">
        <f t="shared" ref="P30:R31" si="26">E30*$R$11*$I$4*$I$5/1000</f>
        <v>0</v>
      </c>
      <c r="Q30" s="7">
        <f t="shared" si="26"/>
        <v>0</v>
      </c>
      <c r="R30" s="7">
        <f t="shared" si="26"/>
        <v>0</v>
      </c>
      <c r="T30" s="3">
        <v>0</v>
      </c>
      <c r="U30" s="30">
        <v>0</v>
      </c>
    </row>
    <row r="31" spans="1:21" x14ac:dyDescent="0.25">
      <c r="A31" s="31" t="s">
        <v>12</v>
      </c>
      <c r="B31" s="5">
        <f t="shared" si="10"/>
        <v>35564</v>
      </c>
      <c r="C31" s="5">
        <f t="shared" ref="C31:D31" si="27">B31</f>
        <v>35564</v>
      </c>
      <c r="D31" s="5">
        <f t="shared" si="27"/>
        <v>35564</v>
      </c>
      <c r="E31" s="5">
        <f t="shared" ref="E31" si="28">D31</f>
        <v>35564</v>
      </c>
      <c r="F31" s="5">
        <f t="shared" ref="F31" si="29">E31</f>
        <v>35564</v>
      </c>
      <c r="G31" s="5">
        <f t="shared" ref="G31" si="30">F31</f>
        <v>35564</v>
      </c>
      <c r="H31" s="5"/>
      <c r="I31" s="5"/>
      <c r="J31" s="5"/>
      <c r="K31" s="5"/>
      <c r="L31" s="5"/>
      <c r="M31" s="5"/>
      <c r="P31" s="7">
        <f t="shared" si="26"/>
        <v>1990.9272203920966</v>
      </c>
      <c r="Q31" s="7">
        <f t="shared" si="26"/>
        <v>1990.9272203920966</v>
      </c>
      <c r="R31" s="7">
        <f t="shared" si="26"/>
        <v>1990.9272203920966</v>
      </c>
      <c r="T31" s="3">
        <v>30828</v>
      </c>
      <c r="U31" s="30">
        <v>4736</v>
      </c>
    </row>
    <row r="32" spans="1:21" x14ac:dyDescent="0.25">
      <c r="A32" s="31" t="s">
        <v>13</v>
      </c>
      <c r="B32" s="5">
        <f t="shared" si="10"/>
        <v>300734</v>
      </c>
      <c r="C32" s="5">
        <f>B32+I19+I23</f>
        <v>305939.9196390984</v>
      </c>
      <c r="D32" s="5">
        <f>C32+J19+J23</f>
        <v>312500.26601943286</v>
      </c>
      <c r="E32" s="8">
        <f>D32+K19+K23</f>
        <v>319844.47110717493</v>
      </c>
      <c r="F32" s="8">
        <f>E32+L19+L23</f>
        <v>327525.31514501304</v>
      </c>
      <c r="G32" s="8">
        <f>F32+M19+M23</f>
        <v>335802.88427684898</v>
      </c>
      <c r="H32" s="5"/>
      <c r="I32" s="5"/>
      <c r="J32" s="5"/>
      <c r="K32" s="5"/>
      <c r="L32" s="5"/>
      <c r="M32" s="5"/>
      <c r="P32" s="7">
        <f>E32*$R$12*$I$4*$I$5/1000</f>
        <v>1642.5756216432246</v>
      </c>
      <c r="Q32" s="7">
        <f>F32*$R$12*$I$4*$I$5/1000</f>
        <v>1682.0209405712765</v>
      </c>
      <c r="R32" s="7">
        <f>G32*$R$12*$I$4*$I$5/1000</f>
        <v>1724.5307679738089</v>
      </c>
      <c r="T32" s="3">
        <v>268606</v>
      </c>
      <c r="U32" s="30">
        <v>32128</v>
      </c>
    </row>
    <row r="33" spans="1:21" x14ac:dyDescent="0.25">
      <c r="A33" s="31" t="s">
        <v>14</v>
      </c>
      <c r="B33" s="5">
        <f t="shared" si="10"/>
        <v>1466</v>
      </c>
      <c r="C33" s="8">
        <f>B33-(I$19*$B33/($B$28+$B$29+$B$33))</f>
        <v>1459.513331740427</v>
      </c>
      <c r="D33" s="8">
        <f>C33-(J$19*$B33/($B$28+$B$29+$B$33))</f>
        <v>1420.1923597987484</v>
      </c>
      <c r="E33" s="8">
        <f>D33-(K$19*$B33/($B$28+$B$29+$B$33))</f>
        <v>1370.7021250624082</v>
      </c>
      <c r="F33" s="8">
        <f>E33-(L$19*$B33/($B$28+$B$29+$B$33))</f>
        <v>1319.3629334543111</v>
      </c>
      <c r="G33" s="8">
        <f>F33-(M$19*$B33/($B$28+$B$29+$B$33))</f>
        <v>1262.9391104488834</v>
      </c>
      <c r="H33" s="5"/>
      <c r="I33" s="5"/>
      <c r="J33" s="5"/>
      <c r="K33" s="5"/>
      <c r="L33" s="5"/>
      <c r="M33" s="5"/>
      <c r="P33" s="7">
        <f t="shared" ref="P33:R34" si="31">E33*$R$10*$I$4*$I$5/1000</f>
        <v>177.62844677549649</v>
      </c>
      <c r="Q33" s="7">
        <f t="shared" si="31"/>
        <v>170.97543245727567</v>
      </c>
      <c r="R33" s="7">
        <f t="shared" si="31"/>
        <v>163.66350387823934</v>
      </c>
      <c r="T33" s="3">
        <v>1460</v>
      </c>
      <c r="U33" s="30">
        <v>6</v>
      </c>
    </row>
    <row r="34" spans="1:21" x14ac:dyDescent="0.25">
      <c r="A34" s="31" t="s">
        <v>15</v>
      </c>
      <c r="B34" s="5">
        <f t="shared" si="10"/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7">
        <f t="shared" si="31"/>
        <v>0</v>
      </c>
      <c r="Q34" s="7">
        <f t="shared" si="31"/>
        <v>0</v>
      </c>
      <c r="R34" s="7">
        <f t="shared" si="31"/>
        <v>0</v>
      </c>
      <c r="T34" s="3">
        <v>0</v>
      </c>
      <c r="U34" s="30">
        <v>0</v>
      </c>
    </row>
    <row r="35" spans="1:21" x14ac:dyDescent="0.25">
      <c r="A35" s="31" t="s">
        <v>16</v>
      </c>
      <c r="B35" s="5">
        <f t="shared" si="10"/>
        <v>8969</v>
      </c>
      <c r="C35" s="12">
        <f>B35</f>
        <v>8969</v>
      </c>
      <c r="D35" s="12">
        <f t="shared" ref="D35:G35" si="32">C35</f>
        <v>8969</v>
      </c>
      <c r="E35" s="12">
        <f t="shared" si="32"/>
        <v>8969</v>
      </c>
      <c r="F35" s="12">
        <f t="shared" si="32"/>
        <v>8969</v>
      </c>
      <c r="G35" s="12">
        <f t="shared" si="32"/>
        <v>8969</v>
      </c>
      <c r="H35" s="5"/>
      <c r="I35" s="5"/>
      <c r="J35" s="5"/>
      <c r="K35" s="5"/>
      <c r="L35" s="5"/>
      <c r="M35" s="5"/>
      <c r="P35" s="7">
        <f>E35*$R$13*$I$4*$I$5/1000</f>
        <v>1093.5004799999999</v>
      </c>
      <c r="Q35" s="7">
        <f>F35*$R$13*$I$4*$I$5/1000</f>
        <v>1093.5004799999999</v>
      </c>
      <c r="R35" s="7">
        <f>G35*$R$13*$I$4*$I$5/1000</f>
        <v>1093.5004799999999</v>
      </c>
      <c r="T35" s="3">
        <v>8969</v>
      </c>
      <c r="U35" s="30">
        <v>0</v>
      </c>
    </row>
    <row r="36" spans="1:21" x14ac:dyDescent="0.25">
      <c r="A36" s="31" t="s">
        <v>17</v>
      </c>
      <c r="B36" s="5">
        <f t="shared" si="10"/>
        <v>86939</v>
      </c>
      <c r="C36" s="5">
        <f>B36</f>
        <v>86939</v>
      </c>
      <c r="D36" s="5">
        <f t="shared" ref="D36:G36" si="33">C36</f>
        <v>86939</v>
      </c>
      <c r="E36" s="5">
        <f t="shared" si="33"/>
        <v>86939</v>
      </c>
      <c r="F36" s="5">
        <f t="shared" si="33"/>
        <v>86939</v>
      </c>
      <c r="G36" s="5">
        <f t="shared" si="33"/>
        <v>86939</v>
      </c>
      <c r="H36" s="5"/>
      <c r="I36" s="5"/>
      <c r="J36" s="5"/>
      <c r="K36" s="5"/>
      <c r="L36" s="5"/>
      <c r="M36" s="5"/>
      <c r="P36" s="7">
        <f>E36*$R$10*$I$4*$I$5/1000</f>
        <v>11266.371629439016</v>
      </c>
      <c r="Q36" s="7">
        <f>F36*$R$10*$I$4*$I$5/1000</f>
        <v>11266.371629439016</v>
      </c>
      <c r="R36" s="7">
        <f>G36*$R$10*$I$4*$I$5/1000</f>
        <v>11266.371629439016</v>
      </c>
      <c r="T36" s="3">
        <v>83606</v>
      </c>
      <c r="U36" s="30">
        <v>3333</v>
      </c>
    </row>
    <row r="37" spans="1:21" x14ac:dyDescent="0.25">
      <c r="A37" s="31" t="s">
        <v>31</v>
      </c>
      <c r="B37" s="5">
        <f t="shared" si="10"/>
        <v>545207</v>
      </c>
      <c r="C37" s="5">
        <f>SUM(C28:C36)</f>
        <v>549912.91963909846</v>
      </c>
      <c r="D37" s="5">
        <f t="shared" ref="D37:G37" si="34">SUM(D28:D36)</f>
        <v>553442.3593684223</v>
      </c>
      <c r="E37" s="8">
        <f t="shared" si="34"/>
        <v>556971.79909774603</v>
      </c>
      <c r="F37" s="8">
        <f t="shared" si="34"/>
        <v>560695.35801218264</v>
      </c>
      <c r="G37" s="8">
        <f t="shared" si="34"/>
        <v>564623.7126669134</v>
      </c>
      <c r="H37" s="5"/>
      <c r="I37" s="5"/>
      <c r="J37" s="5"/>
      <c r="K37" s="5"/>
      <c r="L37" s="5"/>
      <c r="M37" s="5"/>
      <c r="P37" s="7">
        <f>SUM(P28:P36)</f>
        <v>29685.184033382851</v>
      </c>
      <c r="Q37" s="7">
        <f t="shared" ref="Q37:R37" si="35">SUM(Q28:Q36)</f>
        <v>29211.807202943048</v>
      </c>
      <c r="R37" s="7">
        <f t="shared" si="35"/>
        <v>28690.704996675951</v>
      </c>
      <c r="T37" s="3">
        <v>500414</v>
      </c>
      <c r="U37" s="30">
        <v>44793</v>
      </c>
    </row>
    <row r="38" spans="1:21" x14ac:dyDescent="0.25">
      <c r="A38" s="32" t="s">
        <v>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4"/>
      <c r="P38" s="35">
        <f>P26+P37</f>
        <v>105603.50608763998</v>
      </c>
      <c r="Q38" s="35">
        <f t="shared" ref="Q38:R38" si="36">Q26+Q37</f>
        <v>102124.44030522482</v>
      </c>
      <c r="R38" s="35">
        <f t="shared" si="36"/>
        <v>98183.562067487044</v>
      </c>
      <c r="S38" s="34"/>
      <c r="T38" s="34"/>
      <c r="U38" s="36"/>
    </row>
    <row r="39" spans="1:2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1" x14ac:dyDescent="0.25">
      <c r="A40" s="25" t="s">
        <v>36</v>
      </c>
      <c r="B40" s="37" t="s">
        <v>33</v>
      </c>
      <c r="C40" s="53" t="s">
        <v>34</v>
      </c>
      <c r="D40" s="53"/>
      <c r="E40" s="53"/>
      <c r="F40" s="53"/>
      <c r="G40" s="53"/>
      <c r="H40" s="28"/>
      <c r="I40" s="28" t="s">
        <v>46</v>
      </c>
      <c r="J40" s="28"/>
      <c r="K40" s="28"/>
      <c r="L40" s="28"/>
      <c r="M40" s="28"/>
      <c r="N40" s="27"/>
      <c r="O40" s="27"/>
      <c r="P40" s="48" t="s">
        <v>32</v>
      </c>
      <c r="Q40" s="48"/>
      <c r="R40" s="48"/>
      <c r="S40" s="27"/>
      <c r="T40" s="47">
        <v>2015</v>
      </c>
      <c r="U40" s="51"/>
    </row>
    <row r="41" spans="1:21" x14ac:dyDescent="0.25">
      <c r="A41" s="29" t="s">
        <v>28</v>
      </c>
      <c r="B41" s="5">
        <v>2015</v>
      </c>
      <c r="C41" s="5">
        <v>2016</v>
      </c>
      <c r="D41" s="5">
        <v>2017</v>
      </c>
      <c r="E41" s="5">
        <v>2018</v>
      </c>
      <c r="F41" s="5">
        <v>2019</v>
      </c>
      <c r="G41" s="5">
        <v>2020</v>
      </c>
      <c r="H41" s="5"/>
      <c r="I41" s="5">
        <v>2016</v>
      </c>
      <c r="J41" s="5">
        <v>2017</v>
      </c>
      <c r="K41" s="5">
        <v>2018</v>
      </c>
      <c r="L41" s="5">
        <v>2019</v>
      </c>
      <c r="M41" s="5">
        <v>2020</v>
      </c>
      <c r="P41" s="3">
        <v>2018</v>
      </c>
      <c r="Q41" s="3">
        <v>2019</v>
      </c>
      <c r="R41" s="3">
        <v>2020</v>
      </c>
      <c r="T41" s="3" t="s">
        <v>40</v>
      </c>
      <c r="U41" s="30" t="s">
        <v>41</v>
      </c>
    </row>
    <row r="42" spans="1:21" x14ac:dyDescent="0.25">
      <c r="A42" s="31" t="s">
        <v>9</v>
      </c>
      <c r="B42" s="5">
        <f>T42+U42</f>
        <v>75.25800000000001</v>
      </c>
      <c r="C42" s="14">
        <f>B42-(I$43*B42/(B$42+B$43))</f>
        <v>61.092762795817279</v>
      </c>
      <c r="D42" s="14">
        <f>C42-(J$43*C42/(C$42+C$43))</f>
        <v>43.48976334617501</v>
      </c>
      <c r="E42" s="14">
        <f>D42-(K$43*D42/(D$42+D$43))</f>
        <v>27.957705008255363</v>
      </c>
      <c r="F42" s="14">
        <f>E42-(L$43*E42/(E$42+E$43))</f>
        <v>13.461117226197027</v>
      </c>
      <c r="G42" s="14">
        <f>F42-(M$43*F42/(F$42+F$43))</f>
        <v>0</v>
      </c>
      <c r="H42" s="15"/>
      <c r="I42" s="5">
        <v>7</v>
      </c>
      <c r="J42" s="5">
        <v>7</v>
      </c>
      <c r="K42" s="5">
        <v>9</v>
      </c>
      <c r="L42" s="5">
        <v>9</v>
      </c>
      <c r="M42" s="11">
        <v>8</v>
      </c>
      <c r="N42" s="5" t="s">
        <v>47</v>
      </c>
      <c r="P42" s="7">
        <f t="shared" ref="P42:R43" si="37">E42*$R$5*$I$4*$I$5/1000</f>
        <v>567.03756833309444</v>
      </c>
      <c r="Q42" s="7">
        <f t="shared" si="37"/>
        <v>273.01808845667506</v>
      </c>
      <c r="R42" s="7">
        <f t="shared" si="37"/>
        <v>0</v>
      </c>
      <c r="T42" s="3">
        <v>55.267000000000003</v>
      </c>
      <c r="U42" s="30">
        <v>19.991</v>
      </c>
    </row>
    <row r="43" spans="1:21" x14ac:dyDescent="0.25">
      <c r="A43" s="31" t="s">
        <v>10</v>
      </c>
      <c r="B43" s="5">
        <f t="shared" ref="B43:B62" si="38">T43+U43</f>
        <v>70.102000000000004</v>
      </c>
      <c r="C43" s="14">
        <f>B43-((I$43)*B43/(B$42+B$43))</f>
        <v>56.907237204182714</v>
      </c>
      <c r="D43" s="14">
        <f>C43-((J$43)*C43/(C$42+C$43))</f>
        <v>40.510236653824983</v>
      </c>
      <c r="E43" s="14">
        <f>D43-((K$43)*D43/(D$42+D$43))</f>
        <v>26.042294991744633</v>
      </c>
      <c r="F43" s="14">
        <f>E43-((L$43)*E43/(E$42+E$43))</f>
        <v>12.538882773802971</v>
      </c>
      <c r="G43" s="14">
        <f>F43-((M$43)*F43/(F$42+F$43))</f>
        <v>0</v>
      </c>
      <c r="H43" s="15"/>
      <c r="I43" s="24">
        <f>B42+B43-J43-K43-L43-M43</f>
        <v>27.360000000000014</v>
      </c>
      <c r="J43" s="3">
        <v>34</v>
      </c>
      <c r="K43" s="3">
        <v>30</v>
      </c>
      <c r="L43" s="3">
        <v>28</v>
      </c>
      <c r="M43" s="5">
        <v>26</v>
      </c>
      <c r="N43" s="5" t="s">
        <v>48</v>
      </c>
      <c r="P43" s="7">
        <f t="shared" si="37"/>
        <v>528.18926380300547</v>
      </c>
      <c r="Q43" s="7">
        <f t="shared" si="37"/>
        <v>254.31334923848414</v>
      </c>
      <c r="R43" s="7">
        <f t="shared" si="37"/>
        <v>0</v>
      </c>
      <c r="T43" s="3">
        <v>26.791</v>
      </c>
      <c r="U43" s="30">
        <v>43.311</v>
      </c>
    </row>
    <row r="44" spans="1:21" x14ac:dyDescent="0.25">
      <c r="A44" s="31" t="s">
        <v>11</v>
      </c>
      <c r="B44" s="5">
        <f t="shared" si="38"/>
        <v>8.577</v>
      </c>
      <c r="C44" s="14">
        <f>B44</f>
        <v>8.577</v>
      </c>
      <c r="D44" s="14">
        <f t="shared" ref="D44" si="39">C44</f>
        <v>8.577</v>
      </c>
      <c r="E44" s="14">
        <f t="shared" ref="E44" si="40">D44</f>
        <v>8.577</v>
      </c>
      <c r="F44" s="14">
        <f t="shared" ref="F44" si="41">E44</f>
        <v>8.577</v>
      </c>
      <c r="G44" s="14">
        <f t="shared" ref="G44" si="42">F44</f>
        <v>8.577</v>
      </c>
      <c r="H44" s="15"/>
      <c r="I44" s="23">
        <f>I42*($B$53+$B$54+$B$58)/($B$42+$B$43+$B$47)</f>
        <v>262.75016939628813</v>
      </c>
      <c r="J44" s="23">
        <f>J42*($B$53+$B$54+$B$58)/($B$42+$B$43+$B$47)</f>
        <v>262.75016939628813</v>
      </c>
      <c r="K44" s="23">
        <f>K42*($B$53+$B$54+$B$58)/($B$42+$B$43+$B$47)</f>
        <v>337.82164636665618</v>
      </c>
      <c r="L44" s="23">
        <f>L42*($B$53+$B$54+$B$58)/($B$42+$B$43+$B$47)</f>
        <v>337.82164636665618</v>
      </c>
      <c r="M44" s="23">
        <f>M42*($B$53+$B$54+$B$58)/($B$42+$B$43+$B$47)</f>
        <v>300.28590788147216</v>
      </c>
      <c r="N44" s="3" t="s">
        <v>18</v>
      </c>
      <c r="P44" s="7">
        <f t="shared" ref="P44:R45" si="43">E44*$R$6*$I$4*$I$5/1000</f>
        <v>15.473369583069438</v>
      </c>
      <c r="Q44" s="7">
        <f t="shared" si="43"/>
        <v>15.473369583069438</v>
      </c>
      <c r="R44" s="7">
        <f t="shared" si="43"/>
        <v>15.473369583069438</v>
      </c>
      <c r="T44" s="3">
        <v>7.6420000000000003</v>
      </c>
      <c r="U44" s="30">
        <v>0.93500000000000005</v>
      </c>
    </row>
    <row r="45" spans="1:21" x14ac:dyDescent="0.25">
      <c r="A45" s="31" t="s">
        <v>12</v>
      </c>
      <c r="B45" s="14">
        <f t="shared" si="38"/>
        <v>1257.586</v>
      </c>
      <c r="C45" s="14">
        <f>B45</f>
        <v>1257.586</v>
      </c>
      <c r="D45" s="14">
        <f t="shared" ref="D45" si="44">C45</f>
        <v>1257.586</v>
      </c>
      <c r="E45" s="14">
        <f t="shared" ref="E45" si="45">D45</f>
        <v>1257.586</v>
      </c>
      <c r="F45" s="14">
        <f t="shared" ref="F45" si="46">E45</f>
        <v>1257.586</v>
      </c>
      <c r="G45" s="14">
        <f t="shared" ref="G45" si="47">F45</f>
        <v>1257.586</v>
      </c>
      <c r="H45" s="15"/>
      <c r="I45" s="5"/>
      <c r="J45" s="5"/>
      <c r="K45" s="5"/>
      <c r="L45" s="5"/>
      <c r="M45" s="5"/>
      <c r="P45" s="7">
        <f t="shared" si="43"/>
        <v>2268.752822722859</v>
      </c>
      <c r="Q45" s="7">
        <f t="shared" si="43"/>
        <v>2268.752822722859</v>
      </c>
      <c r="R45" s="7">
        <f t="shared" si="43"/>
        <v>2268.752822722859</v>
      </c>
      <c r="T45" s="3">
        <v>706.56500000000005</v>
      </c>
      <c r="U45" s="30">
        <v>551.02099999999996</v>
      </c>
    </row>
    <row r="46" spans="1:21" x14ac:dyDescent="0.25">
      <c r="A46" s="31" t="s">
        <v>13</v>
      </c>
      <c r="B46" s="14">
        <f t="shared" si="38"/>
        <v>2355.0160000000001</v>
      </c>
      <c r="C46" s="14">
        <f>B46+I42+I43+I47</f>
        <v>2399.3490796628807</v>
      </c>
      <c r="D46" s="14">
        <f>C46+J42+J43+J47</f>
        <v>2451.0158497608554</v>
      </c>
      <c r="E46" s="14">
        <f>D46+K42+K43+K47</f>
        <v>2500.5833513903976</v>
      </c>
      <c r="F46" s="14">
        <f>E46+L42+L43+L47</f>
        <v>2548.7320656095649</v>
      </c>
      <c r="G46" s="14">
        <f>F46+M42+M43+M47</f>
        <v>2594.4939591107859</v>
      </c>
      <c r="H46" s="15"/>
      <c r="I46" s="5" t="s">
        <v>37</v>
      </c>
      <c r="J46" s="5"/>
      <c r="K46" s="5"/>
      <c r="L46" s="5"/>
      <c r="M46" s="5"/>
      <c r="P46" s="7">
        <f>E46*$R$7*$I$4*$I$5/1000</f>
        <v>539.08375760233434</v>
      </c>
      <c r="Q46" s="7">
        <f>F46*$R$7*$I$4*$I$5/1000</f>
        <v>549.46381142879727</v>
      </c>
      <c r="R46" s="7">
        <f>G46*$R$7*$I$4*$I$5/1000</f>
        <v>559.32930681007269</v>
      </c>
      <c r="T46" s="3">
        <v>1672.2070000000001</v>
      </c>
      <c r="U46" s="30">
        <v>682.80899999999997</v>
      </c>
    </row>
    <row r="47" spans="1:21" x14ac:dyDescent="0.25">
      <c r="A47" s="31" t="s">
        <v>14</v>
      </c>
      <c r="B47" s="5">
        <f>T47+U47</f>
        <v>96.676000000000002</v>
      </c>
      <c r="C47" s="14">
        <f>B47-I42</f>
        <v>89.676000000000002</v>
      </c>
      <c r="D47" s="14">
        <f>C47-J42</f>
        <v>82.676000000000002</v>
      </c>
      <c r="E47" s="14">
        <f>D47-K42</f>
        <v>73.676000000000002</v>
      </c>
      <c r="F47" s="14">
        <f>E47-L42</f>
        <v>64.676000000000002</v>
      </c>
      <c r="G47" s="14">
        <f>F47-M42</f>
        <v>56.676000000000002</v>
      </c>
      <c r="H47" s="15"/>
      <c r="I47" s="14">
        <f>151000/5280*(B51/(B26+B51))</f>
        <v>9.973079662880501</v>
      </c>
      <c r="J47" s="14">
        <f>161503/5280*(B51/(B26+B51))</f>
        <v>10.666770097974764</v>
      </c>
      <c r="K47" s="14">
        <f>160000/5280*(B51/(B26+B51))</f>
        <v>10.567501629542253</v>
      </c>
      <c r="L47" s="14">
        <f>K47*1.055</f>
        <v>11.148714219167076</v>
      </c>
      <c r="M47" s="14">
        <f>L47*1.055</f>
        <v>11.761893501221264</v>
      </c>
      <c r="N47" s="3" t="s">
        <v>19</v>
      </c>
      <c r="P47" s="7">
        <f t="shared" ref="P47:R50" si="48">E47*$R$4*$I$4*$I$5/1000</f>
        <v>2111.7917904874048</v>
      </c>
      <c r="Q47" s="7">
        <f t="shared" si="48"/>
        <v>1853.822762386169</v>
      </c>
      <c r="R47" s="7">
        <f t="shared" si="48"/>
        <v>1624.5169596295152</v>
      </c>
      <c r="T47" s="3">
        <v>0</v>
      </c>
      <c r="U47" s="30">
        <v>96.676000000000002</v>
      </c>
    </row>
    <row r="48" spans="1:21" x14ac:dyDescent="0.25">
      <c r="A48" s="31" t="s">
        <v>15</v>
      </c>
      <c r="B48" s="5">
        <f t="shared" si="38"/>
        <v>0</v>
      </c>
      <c r="C48" s="14"/>
      <c r="D48" s="14"/>
      <c r="E48" s="14"/>
      <c r="F48" s="14"/>
      <c r="G48" s="14"/>
      <c r="H48" s="5"/>
      <c r="I48" s="5">
        <f>6356*(B62/(B37+B62))</f>
        <v>1650.080360901602</v>
      </c>
      <c r="J48" s="5">
        <f>(4345+422)*(B62/(B37+B62))</f>
        <v>1237.5602706762015</v>
      </c>
      <c r="K48" s="5">
        <f>4767*(B62/(B37+B62))</f>
        <v>1237.5602706762015</v>
      </c>
      <c r="L48" s="5">
        <f>K48*1.055</f>
        <v>1305.6260855633925</v>
      </c>
      <c r="M48" s="5">
        <f>L48*1.055</f>
        <v>1377.4355202693789</v>
      </c>
      <c r="N48" s="3" t="s">
        <v>18</v>
      </c>
      <c r="P48" s="7">
        <f t="shared" si="48"/>
        <v>0</v>
      </c>
      <c r="Q48" s="7">
        <f t="shared" si="48"/>
        <v>0</v>
      </c>
      <c r="R48" s="7">
        <f t="shared" si="48"/>
        <v>0</v>
      </c>
      <c r="T48" s="3">
        <v>0</v>
      </c>
      <c r="U48" s="30">
        <v>0</v>
      </c>
    </row>
    <row r="49" spans="1:21" x14ac:dyDescent="0.25">
      <c r="A49" s="31" t="s">
        <v>16</v>
      </c>
      <c r="B49" s="5">
        <f t="shared" si="38"/>
        <v>0</v>
      </c>
      <c r="C49" s="14"/>
      <c r="D49" s="14"/>
      <c r="E49" s="14"/>
      <c r="F49" s="14"/>
      <c r="G49" s="14"/>
      <c r="H49" s="5"/>
      <c r="I49" s="5"/>
      <c r="J49" s="5"/>
      <c r="K49" s="5"/>
      <c r="L49" s="5"/>
      <c r="M49" s="5"/>
      <c r="P49" s="7">
        <f t="shared" si="48"/>
        <v>0</v>
      </c>
      <c r="Q49" s="7">
        <f t="shared" si="48"/>
        <v>0</v>
      </c>
      <c r="R49" s="7">
        <f t="shared" si="48"/>
        <v>0</v>
      </c>
      <c r="T49" s="3">
        <v>0</v>
      </c>
      <c r="U49" s="30">
        <v>0</v>
      </c>
    </row>
    <row r="50" spans="1:21" x14ac:dyDescent="0.25">
      <c r="A50" s="31" t="s">
        <v>17</v>
      </c>
      <c r="B50" s="5">
        <f t="shared" si="38"/>
        <v>0</v>
      </c>
      <c r="C50" s="14"/>
      <c r="D50" s="14"/>
      <c r="E50" s="14"/>
      <c r="F50" s="14"/>
      <c r="G50" s="14"/>
      <c r="H50" s="5"/>
      <c r="I50" s="17"/>
      <c r="J50" s="5"/>
      <c r="K50" s="5"/>
      <c r="L50" s="5"/>
      <c r="M50" s="5"/>
      <c r="P50" s="7">
        <f t="shared" si="48"/>
        <v>0</v>
      </c>
      <c r="Q50" s="7">
        <f t="shared" si="48"/>
        <v>0</v>
      </c>
      <c r="R50" s="7">
        <f t="shared" si="48"/>
        <v>0</v>
      </c>
      <c r="T50" s="3">
        <v>0</v>
      </c>
      <c r="U50" s="30">
        <v>0</v>
      </c>
    </row>
    <row r="51" spans="1:21" x14ac:dyDescent="0.25">
      <c r="A51" s="31" t="s">
        <v>30</v>
      </c>
      <c r="B51" s="14">
        <f t="shared" si="38"/>
        <v>3863.2150000000001</v>
      </c>
      <c r="C51" s="14">
        <f>SUM(C42:C50)</f>
        <v>3873.1880796628807</v>
      </c>
      <c r="D51" s="14">
        <f t="shared" ref="D51:G51" si="49">SUM(D42:D50)</f>
        <v>3883.8548497608554</v>
      </c>
      <c r="E51" s="14">
        <f t="shared" si="49"/>
        <v>3894.4223513903976</v>
      </c>
      <c r="F51" s="14">
        <f t="shared" si="49"/>
        <v>3905.5710656095648</v>
      </c>
      <c r="G51" s="14">
        <f t="shared" si="49"/>
        <v>3917.3329591107859</v>
      </c>
      <c r="H51" s="5"/>
      <c r="I51" s="17"/>
      <c r="J51" s="5"/>
      <c r="K51" s="5"/>
      <c r="L51" s="5"/>
      <c r="M51" s="5"/>
      <c r="P51" s="8">
        <f>SUM(P42:P50)</f>
        <v>6030.3285725317673</v>
      </c>
      <c r="Q51" s="8">
        <f t="shared" ref="Q51:R51" si="50">SUM(Q42:Q50)</f>
        <v>5214.8442038160538</v>
      </c>
      <c r="R51" s="8">
        <f t="shared" si="50"/>
        <v>4468.072458745517</v>
      </c>
      <c r="T51" s="3">
        <v>2468.4720000000002</v>
      </c>
      <c r="U51" s="30">
        <v>1394.7429999999999</v>
      </c>
    </row>
    <row r="52" spans="1:21" x14ac:dyDescent="0.25">
      <c r="A52" s="29" t="s">
        <v>29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8"/>
      <c r="Q52" s="8"/>
      <c r="R52" s="8"/>
      <c r="U52" s="30"/>
    </row>
    <row r="53" spans="1:21" x14ac:dyDescent="0.25">
      <c r="A53" s="31" t="s">
        <v>9</v>
      </c>
      <c r="B53" s="5">
        <f t="shared" si="38"/>
        <v>3392</v>
      </c>
      <c r="C53" s="8">
        <f t="shared" ref="C53:G54" si="51">B53-(I$44*$B53/($B$53+$B$54+$B$58))</f>
        <v>3293.898891074055</v>
      </c>
      <c r="D53" s="8">
        <f t="shared" si="51"/>
        <v>3195.7977821481099</v>
      </c>
      <c r="E53" s="8">
        <f t="shared" si="51"/>
        <v>3069.6677849576095</v>
      </c>
      <c r="F53" s="8">
        <f t="shared" si="51"/>
        <v>2943.537787767109</v>
      </c>
      <c r="G53" s="8">
        <f t="shared" si="51"/>
        <v>2831.4222347088862</v>
      </c>
      <c r="H53" s="5"/>
      <c r="I53" s="5"/>
      <c r="J53" s="18"/>
      <c r="K53" s="5"/>
      <c r="L53" s="5"/>
      <c r="M53" s="5"/>
      <c r="P53" s="7">
        <f t="shared" ref="P53:R54" si="52">E53*$R$10*$I$4*$I$5/1000</f>
        <v>397.79636347610767</v>
      </c>
      <c r="Q53" s="7">
        <f t="shared" si="52"/>
        <v>381.45125458403066</v>
      </c>
      <c r="R53" s="7">
        <f t="shared" si="52"/>
        <v>366.9222689021845</v>
      </c>
      <c r="T53" s="3">
        <v>1673</v>
      </c>
      <c r="U53" s="30">
        <v>1719</v>
      </c>
    </row>
    <row r="54" spans="1:21" x14ac:dyDescent="0.25">
      <c r="A54" s="31" t="s">
        <v>10</v>
      </c>
      <c r="B54" s="5">
        <f t="shared" si="38"/>
        <v>5677</v>
      </c>
      <c r="C54" s="8">
        <f t="shared" si="51"/>
        <v>5512.8136806094963</v>
      </c>
      <c r="D54" s="8">
        <f t="shared" si="51"/>
        <v>5348.6273612189925</v>
      </c>
      <c r="E54" s="8">
        <f t="shared" si="51"/>
        <v>5137.5306648597734</v>
      </c>
      <c r="F54" s="8">
        <f t="shared" si="51"/>
        <v>4926.4339685005543</v>
      </c>
      <c r="G54" s="8">
        <f t="shared" si="51"/>
        <v>4738.7924606256929</v>
      </c>
      <c r="H54" s="5"/>
      <c r="I54" s="5"/>
      <c r="J54" s="5"/>
      <c r="K54" s="5"/>
      <c r="L54" s="5"/>
      <c r="M54" s="5"/>
      <c r="P54" s="7">
        <f t="shared" si="52"/>
        <v>665.76944441446437</v>
      </c>
      <c r="Q54" s="7">
        <f t="shared" si="52"/>
        <v>638.41355314668112</v>
      </c>
      <c r="R54" s="7">
        <f t="shared" si="52"/>
        <v>614.09720535309611</v>
      </c>
      <c r="T54" s="3">
        <v>2168</v>
      </c>
      <c r="U54" s="30">
        <v>3509</v>
      </c>
    </row>
    <row r="55" spans="1:21" x14ac:dyDescent="0.25">
      <c r="A55" s="31" t="s">
        <v>11</v>
      </c>
      <c r="B55" s="5">
        <f t="shared" si="38"/>
        <v>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7">
        <f t="shared" ref="P55:R56" si="53">E55*$R$11*$I$4*$I$5/1000</f>
        <v>0</v>
      </c>
      <c r="Q55" s="7">
        <f t="shared" si="53"/>
        <v>0</v>
      </c>
      <c r="R55" s="7">
        <f t="shared" si="53"/>
        <v>0</v>
      </c>
      <c r="T55" s="3">
        <v>0</v>
      </c>
      <c r="U55" s="30">
        <v>0</v>
      </c>
    </row>
    <row r="56" spans="1:21" x14ac:dyDescent="0.25">
      <c r="A56" s="31" t="s">
        <v>12</v>
      </c>
      <c r="B56" s="5">
        <f t="shared" si="38"/>
        <v>40025</v>
      </c>
      <c r="C56" s="5">
        <f>B56</f>
        <v>40025</v>
      </c>
      <c r="D56" s="5">
        <f t="shared" ref="D56" si="54">C56</f>
        <v>40025</v>
      </c>
      <c r="E56" s="5">
        <f t="shared" ref="E56" si="55">D56</f>
        <v>40025</v>
      </c>
      <c r="F56" s="5">
        <f t="shared" ref="F56" si="56">E56</f>
        <v>40025</v>
      </c>
      <c r="G56" s="5">
        <f t="shared" ref="G56" si="57">F56</f>
        <v>40025</v>
      </c>
      <c r="H56" s="5"/>
      <c r="I56" s="5"/>
      <c r="J56" s="5"/>
      <c r="K56" s="5"/>
      <c r="L56" s="5"/>
      <c r="M56" s="5"/>
      <c r="P56" s="7">
        <f t="shared" si="53"/>
        <v>2240.6608366942323</v>
      </c>
      <c r="Q56" s="7">
        <f t="shared" si="53"/>
        <v>2240.6608366942323</v>
      </c>
      <c r="R56" s="7">
        <f t="shared" si="53"/>
        <v>2240.6608366942323</v>
      </c>
      <c r="T56" s="3">
        <v>19510</v>
      </c>
      <c r="U56" s="30">
        <v>20515</v>
      </c>
    </row>
    <row r="57" spans="1:21" x14ac:dyDescent="0.25">
      <c r="A57" s="31" t="s">
        <v>13</v>
      </c>
      <c r="B57" s="5">
        <f t="shared" si="38"/>
        <v>131134</v>
      </c>
      <c r="C57" s="5">
        <f>B57+I44+I48</f>
        <v>133046.83053029788</v>
      </c>
      <c r="D57" s="5">
        <f>C57+J44+J48</f>
        <v>134547.14097037038</v>
      </c>
      <c r="E57" s="8">
        <f>D57+K44+K48</f>
        <v>136122.52288741324</v>
      </c>
      <c r="F57" s="8">
        <f>E57+L44+L48</f>
        <v>137765.97061934328</v>
      </c>
      <c r="G57" s="8">
        <f>F57+M44+M48</f>
        <v>139443.69204749414</v>
      </c>
      <c r="H57" s="5"/>
      <c r="I57" s="5"/>
      <c r="J57" s="5"/>
      <c r="K57" s="5"/>
      <c r="L57" s="5"/>
      <c r="M57" s="5"/>
      <c r="P57" s="7">
        <f>E57*$R$12*$I$4*$I$5/1000</f>
        <v>699.06331936097422</v>
      </c>
      <c r="Q57" s="7">
        <f>F57*$R$12*$I$4*$I$5/1000</f>
        <v>707.50331887251343</v>
      </c>
      <c r="R57" s="7">
        <f>G57*$R$12*$I$4*$I$5/1000</f>
        <v>716.11933248766104</v>
      </c>
      <c r="T57" s="3">
        <v>82228</v>
      </c>
      <c r="U57" s="30">
        <v>48906</v>
      </c>
    </row>
    <row r="58" spans="1:21" x14ac:dyDescent="0.25">
      <c r="A58" s="31" t="s">
        <v>14</v>
      </c>
      <c r="B58" s="5">
        <f t="shared" si="38"/>
        <v>16</v>
      </c>
      <c r="C58" s="8">
        <f>B58-(I$44*$B58/($B$53+$B$54+$B$58))</f>
        <v>15.537258920160637</v>
      </c>
      <c r="D58" s="8">
        <f>C58-(J$44*$B58/($B$53+$B$54+$B$58))</f>
        <v>15.074517840321274</v>
      </c>
      <c r="E58" s="8">
        <f>D58-(K$44*$B58/($B$53+$B$54+$B$58))</f>
        <v>14.47956502338495</v>
      </c>
      <c r="F58" s="8">
        <f>E58-(L$44*$B58/($B$53+$B$54+$B$58))</f>
        <v>13.884612206448626</v>
      </c>
      <c r="G58" s="8">
        <f>F58-(M$44*$B58/($B$53+$B$54+$B$58))</f>
        <v>13.355765258060783</v>
      </c>
      <c r="H58" s="5"/>
      <c r="I58" s="5"/>
      <c r="J58" s="5"/>
      <c r="K58" s="5"/>
      <c r="L58" s="5"/>
      <c r="M58" s="5"/>
      <c r="P58" s="7">
        <f t="shared" ref="P58:R59" si="58">E58*$R$10*$I$4*$I$5/1000</f>
        <v>1.876397940925036</v>
      </c>
      <c r="Q58" s="7">
        <f t="shared" si="58"/>
        <v>1.7992983706793899</v>
      </c>
      <c r="R58" s="7">
        <f t="shared" si="58"/>
        <v>1.7307654193499269</v>
      </c>
      <c r="T58" s="3">
        <v>16</v>
      </c>
      <c r="U58" s="30">
        <v>0</v>
      </c>
    </row>
    <row r="59" spans="1:21" x14ac:dyDescent="0.25">
      <c r="A59" s="31" t="s">
        <v>15</v>
      </c>
      <c r="B59" s="5">
        <f t="shared" si="38"/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7">
        <f t="shared" si="58"/>
        <v>0</v>
      </c>
      <c r="Q59" s="7">
        <f t="shared" si="58"/>
        <v>0</v>
      </c>
      <c r="R59" s="7">
        <f t="shared" si="58"/>
        <v>0</v>
      </c>
      <c r="T59" s="3">
        <v>0</v>
      </c>
      <c r="U59" s="30">
        <v>0</v>
      </c>
    </row>
    <row r="60" spans="1:21" x14ac:dyDescent="0.25">
      <c r="A60" s="31" t="s">
        <v>16</v>
      </c>
      <c r="B60" s="5">
        <f t="shared" si="38"/>
        <v>1</v>
      </c>
      <c r="C60" s="12">
        <f>B60</f>
        <v>1</v>
      </c>
      <c r="D60" s="12">
        <f t="shared" ref="D60:G60" si="59">C60</f>
        <v>1</v>
      </c>
      <c r="E60" s="12">
        <f t="shared" si="59"/>
        <v>1</v>
      </c>
      <c r="F60" s="12">
        <f t="shared" si="59"/>
        <v>1</v>
      </c>
      <c r="G60" s="12">
        <f t="shared" si="59"/>
        <v>1</v>
      </c>
      <c r="H60" s="5"/>
      <c r="I60" s="5"/>
      <c r="J60" s="5"/>
      <c r="K60" s="5"/>
      <c r="L60" s="5"/>
      <c r="M60" s="5"/>
      <c r="P60" s="7">
        <f>E60*$R$13*$I$4*$I$5/1000</f>
        <v>0.12191999999999999</v>
      </c>
      <c r="Q60" s="7">
        <f>F60*$R$13*$I$4*$I$5/1000</f>
        <v>0.12191999999999999</v>
      </c>
      <c r="R60" s="7">
        <f>G60*$R$13*$I$4*$I$5/1000</f>
        <v>0.12191999999999999</v>
      </c>
      <c r="T60" s="3">
        <v>0</v>
      </c>
      <c r="U60" s="30">
        <v>1</v>
      </c>
    </row>
    <row r="61" spans="1:21" x14ac:dyDescent="0.25">
      <c r="A61" s="31" t="s">
        <v>17</v>
      </c>
      <c r="B61" s="5">
        <f t="shared" si="38"/>
        <v>10926</v>
      </c>
      <c r="C61" s="5">
        <f>B61</f>
        <v>10926</v>
      </c>
      <c r="D61" s="5">
        <f t="shared" ref="D61:G61" si="60">C61</f>
        <v>10926</v>
      </c>
      <c r="E61" s="5">
        <f t="shared" si="60"/>
        <v>10926</v>
      </c>
      <c r="F61" s="5">
        <f t="shared" si="60"/>
        <v>10926</v>
      </c>
      <c r="G61" s="5">
        <f t="shared" si="60"/>
        <v>10926</v>
      </c>
      <c r="H61" s="5"/>
      <c r="I61" s="5"/>
      <c r="J61" s="5"/>
      <c r="K61" s="5"/>
      <c r="L61" s="5"/>
      <c r="M61" s="5"/>
      <c r="P61" s="7">
        <f>E61*$R$10*$I$4*$I$5/1000</f>
        <v>1415.893631434117</v>
      </c>
      <c r="Q61" s="7">
        <f>F61*$R$10*$I$4*$I$5/1000</f>
        <v>1415.893631434117</v>
      </c>
      <c r="R61" s="7">
        <f>G61*$R$10*$I$4*$I$5/1000</f>
        <v>1415.893631434117</v>
      </c>
      <c r="T61" s="3">
        <v>9670</v>
      </c>
      <c r="U61" s="30">
        <v>1256</v>
      </c>
    </row>
    <row r="62" spans="1:21" x14ac:dyDescent="0.25">
      <c r="A62" s="31" t="s">
        <v>31</v>
      </c>
      <c r="B62" s="5">
        <f t="shared" si="38"/>
        <v>191171</v>
      </c>
      <c r="C62" s="5">
        <f>SUM(C53:C61)</f>
        <v>192821.0803609016</v>
      </c>
      <c r="D62" s="5">
        <f t="shared" ref="D62:G62" si="61">SUM(D53:D61)</f>
        <v>194058.64063157779</v>
      </c>
      <c r="E62" s="8">
        <f t="shared" si="61"/>
        <v>195296.20090225403</v>
      </c>
      <c r="F62" s="8">
        <f t="shared" si="61"/>
        <v>196601.82698781739</v>
      </c>
      <c r="G62" s="8">
        <f t="shared" si="61"/>
        <v>197979.26250808677</v>
      </c>
      <c r="H62" s="5"/>
      <c r="I62" s="5"/>
      <c r="J62" s="5"/>
      <c r="K62" s="5"/>
      <c r="L62" s="5"/>
      <c r="M62" s="5"/>
      <c r="P62" s="7">
        <f>SUM(P53:P61)</f>
        <v>5421.181913320821</v>
      </c>
      <c r="Q62" s="7">
        <f t="shared" ref="Q62:R62" si="62">SUM(Q53:Q61)</f>
        <v>5385.843813102254</v>
      </c>
      <c r="R62" s="7">
        <f t="shared" si="62"/>
        <v>5355.5459602906412</v>
      </c>
      <c r="T62" s="3">
        <v>115265</v>
      </c>
      <c r="U62" s="30">
        <v>75906</v>
      </c>
    </row>
    <row r="63" spans="1:21" x14ac:dyDescent="0.25">
      <c r="A63" s="32" t="s">
        <v>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>
        <f>P51+P62</f>
        <v>11451.510485852588</v>
      </c>
      <c r="Q63" s="35">
        <f t="shared" ref="Q63:R63" si="63">Q51+Q62</f>
        <v>10600.688016918308</v>
      </c>
      <c r="R63" s="35">
        <f t="shared" si="63"/>
        <v>9823.6184190361582</v>
      </c>
      <c r="S63" s="34"/>
      <c r="T63" s="34"/>
      <c r="U63" s="36"/>
    </row>
    <row r="65" spans="1:18" x14ac:dyDescent="0.25">
      <c r="A65" s="25" t="s">
        <v>42</v>
      </c>
      <c r="B65" s="26" t="s">
        <v>33</v>
      </c>
      <c r="C65" s="47" t="s">
        <v>34</v>
      </c>
      <c r="D65" s="47"/>
      <c r="E65" s="47"/>
      <c r="F65" s="47"/>
      <c r="G65" s="47"/>
      <c r="H65" s="27"/>
      <c r="I65" s="38" t="s">
        <v>49</v>
      </c>
      <c r="J65" s="27"/>
      <c r="K65" s="27"/>
      <c r="L65" s="27"/>
      <c r="M65" s="27"/>
      <c r="N65" s="27"/>
      <c r="O65" s="27"/>
      <c r="P65" s="48" t="s">
        <v>32</v>
      </c>
      <c r="Q65" s="48"/>
      <c r="R65" s="49"/>
    </row>
    <row r="66" spans="1:18" x14ac:dyDescent="0.25">
      <c r="A66" s="29" t="s">
        <v>28</v>
      </c>
      <c r="B66" s="5">
        <v>2015</v>
      </c>
      <c r="C66" s="5">
        <v>2016</v>
      </c>
      <c r="D66" s="5">
        <v>2017</v>
      </c>
      <c r="E66" s="5">
        <v>2018</v>
      </c>
      <c r="F66" s="5">
        <v>2019</v>
      </c>
      <c r="G66" s="5">
        <v>2020</v>
      </c>
      <c r="H66" s="5"/>
      <c r="I66" s="5">
        <v>2016</v>
      </c>
      <c r="J66" s="5">
        <v>2017</v>
      </c>
      <c r="K66" s="5">
        <v>2018</v>
      </c>
      <c r="L66" s="5">
        <v>2019</v>
      </c>
      <c r="M66" s="5">
        <v>2020</v>
      </c>
      <c r="N66" s="5"/>
      <c r="P66" s="3">
        <v>2018</v>
      </c>
      <c r="Q66" s="3">
        <v>2019</v>
      </c>
      <c r="R66" s="30">
        <v>2020</v>
      </c>
    </row>
    <row r="67" spans="1:18" x14ac:dyDescent="0.25">
      <c r="A67" s="31" t="s">
        <v>9</v>
      </c>
      <c r="B67" s="18">
        <v>226.3</v>
      </c>
      <c r="C67" s="18">
        <f>B67-I68*B67/(B67+B68)</f>
        <v>211.19329126536033</v>
      </c>
      <c r="D67" s="18">
        <f>C67-J68*C67/(C67+C68)</f>
        <v>194.63353260267905</v>
      </c>
      <c r="E67" s="18">
        <f>D67-K68*D67/(D67+D68)</f>
        <v>178.07377393999778</v>
      </c>
      <c r="F67" s="18">
        <f>E67-L68*E67/(E67+E68)</f>
        <v>161.5140152773165</v>
      </c>
      <c r="G67" s="18">
        <f>F67-M68*F67/(F67+F68)</f>
        <v>147.97058784456991</v>
      </c>
      <c r="H67" s="18"/>
      <c r="I67" s="5">
        <f>B72-499.6</f>
        <v>28.899999999999977</v>
      </c>
      <c r="J67" s="5">
        <f>104.7/3</f>
        <v>34.9</v>
      </c>
      <c r="K67" s="5">
        <f t="shared" ref="K67:L67" si="64">104.7/3</f>
        <v>34.9</v>
      </c>
      <c r="L67" s="5">
        <f t="shared" si="64"/>
        <v>34.9</v>
      </c>
      <c r="M67" s="22">
        <f>216.3/5</f>
        <v>43.260000000000005</v>
      </c>
      <c r="N67" s="5" t="s">
        <v>47</v>
      </c>
      <c r="P67" s="7">
        <f t="shared" ref="P67:R68" si="65">E67*$R$5*$I$4*$I$5/1000</f>
        <v>3611.6884318300699</v>
      </c>
      <c r="Q67" s="7">
        <f t="shared" si="65"/>
        <v>3275.8237647732776</v>
      </c>
      <c r="R67" s="39">
        <f t="shared" si="65"/>
        <v>3001.1362624874964</v>
      </c>
    </row>
    <row r="68" spans="1:18" x14ac:dyDescent="0.25">
      <c r="A68" s="31" t="s">
        <v>10</v>
      </c>
      <c r="B68" s="18">
        <v>74.8</v>
      </c>
      <c r="C68" s="18">
        <f>B68-I68*B68/(B67+B68)</f>
        <v>69.806708734639642</v>
      </c>
      <c r="D68" s="18">
        <f>C68-J68*C68/(C67+C68)</f>
        <v>64.333134063987586</v>
      </c>
      <c r="E68" s="18">
        <f>D68-K68*D68/(D67+D68)</f>
        <v>58.85955939333553</v>
      </c>
      <c r="F68" s="18">
        <f>E68-L68*E68/(E67+E68)</f>
        <v>53.385984722683482</v>
      </c>
      <c r="G68" s="18">
        <f>F68-M68*F68/(F67+F68)</f>
        <v>48.909412155430076</v>
      </c>
      <c r="H68" s="15"/>
      <c r="I68" s="5">
        <f>B67+B68-281</f>
        <v>20.100000000000023</v>
      </c>
      <c r="J68" s="18">
        <f>66.1/3</f>
        <v>22.033333333333331</v>
      </c>
      <c r="K68" s="18">
        <f t="shared" ref="K68:L68" si="66">66.1/3</f>
        <v>22.033333333333331</v>
      </c>
      <c r="L68" s="18">
        <f t="shared" si="66"/>
        <v>22.033333333333331</v>
      </c>
      <c r="M68" s="18">
        <f>90.1/5</f>
        <v>18.02</v>
      </c>
      <c r="N68" s="5" t="s">
        <v>48</v>
      </c>
      <c r="P68" s="7">
        <f t="shared" si="65"/>
        <v>1193.7883106535094</v>
      </c>
      <c r="Q68" s="7">
        <f t="shared" si="65"/>
        <v>1082.773387560942</v>
      </c>
      <c r="R68" s="39">
        <f t="shared" si="65"/>
        <v>991.97963956723231</v>
      </c>
    </row>
    <row r="69" spans="1:18" x14ac:dyDescent="0.25">
      <c r="A69" s="31" t="s">
        <v>11</v>
      </c>
      <c r="B69" s="8">
        <v>0</v>
      </c>
      <c r="C69" s="18"/>
      <c r="D69" s="18"/>
      <c r="E69" s="18"/>
      <c r="F69" s="18"/>
      <c r="G69" s="18"/>
      <c r="H69" s="15"/>
      <c r="I69" s="5">
        <f>B78+B79-39190</f>
        <v>3990</v>
      </c>
      <c r="J69" s="5">
        <f>13398/3</f>
        <v>4466</v>
      </c>
      <c r="K69" s="5">
        <f t="shared" ref="K69:L69" si="67">13398/3</f>
        <v>4466</v>
      </c>
      <c r="L69" s="5">
        <f t="shared" si="67"/>
        <v>4466</v>
      </c>
      <c r="M69" s="12">
        <f>21245/5</f>
        <v>4249</v>
      </c>
      <c r="N69" s="5" t="s">
        <v>18</v>
      </c>
      <c r="P69" s="7">
        <f t="shared" ref="P69:R70" si="68">E69*$R$6*$I$4*$I$5/1000</f>
        <v>0</v>
      </c>
      <c r="Q69" s="7">
        <f t="shared" si="68"/>
        <v>0</v>
      </c>
      <c r="R69" s="39">
        <f t="shared" si="68"/>
        <v>0</v>
      </c>
    </row>
    <row r="70" spans="1:18" x14ac:dyDescent="0.25">
      <c r="A70" s="31" t="s">
        <v>12</v>
      </c>
      <c r="B70" s="18">
        <v>2130.6</v>
      </c>
      <c r="C70" s="18">
        <f>B70</f>
        <v>2130.6</v>
      </c>
      <c r="D70" s="18">
        <f t="shared" ref="D70" si="69">C70</f>
        <v>2130.6</v>
      </c>
      <c r="E70" s="18">
        <f t="shared" ref="E70" si="70">D70</f>
        <v>2130.6</v>
      </c>
      <c r="F70" s="18">
        <f t="shared" ref="F70" si="71">E70</f>
        <v>2130.6</v>
      </c>
      <c r="G70" s="18">
        <f t="shared" ref="G70" si="72">F70</f>
        <v>2130.6</v>
      </c>
      <c r="H70" s="15"/>
      <c r="I70" s="5"/>
      <c r="J70" s="5"/>
      <c r="K70" s="5"/>
      <c r="L70" s="5"/>
      <c r="M70" s="5"/>
      <c r="N70" s="5"/>
      <c r="P70" s="7">
        <f t="shared" si="68"/>
        <v>3843.7170611738075</v>
      </c>
      <c r="Q70" s="7">
        <f t="shared" si="68"/>
        <v>3843.7170611738075</v>
      </c>
      <c r="R70" s="39">
        <f t="shared" si="68"/>
        <v>3843.7170611738075</v>
      </c>
    </row>
    <row r="71" spans="1:18" x14ac:dyDescent="0.25">
      <c r="A71" s="31" t="s">
        <v>13</v>
      </c>
      <c r="B71" s="18">
        <v>1999.6</v>
      </c>
      <c r="C71" s="18">
        <f>B71+I67+I68+I72</f>
        <v>2091.0289772727274</v>
      </c>
      <c r="D71" s="18">
        <f>C71+J67+J68+J72</f>
        <v>2191.4335227272727</v>
      </c>
      <c r="E71" s="18">
        <f>D71+K67+K68+K72</f>
        <v>2293.0106060606063</v>
      </c>
      <c r="F71" s="18">
        <f>E71+L67+L68+L72</f>
        <v>2396.6721590909092</v>
      </c>
      <c r="G71" s="18">
        <f>F71+M67+M68+M72</f>
        <v>2506.2436363636366</v>
      </c>
      <c r="H71" s="15"/>
      <c r="I71" s="5" t="s">
        <v>37</v>
      </c>
      <c r="J71" s="5"/>
      <c r="K71" s="5"/>
      <c r="L71" s="5"/>
      <c r="M71" s="5"/>
      <c r="N71" s="5"/>
      <c r="P71" s="7">
        <f>E71*$R$7*$I$4*$I$5/1000</f>
        <v>494.33456119342554</v>
      </c>
      <c r="Q71" s="7">
        <f>F71*$R$7*$I$4*$I$5/1000</f>
        <v>516.68225038178912</v>
      </c>
      <c r="R71" s="39">
        <f>G71*$R$7*$I$4*$I$5/1000</f>
        <v>540.3040199426307</v>
      </c>
    </row>
    <row r="72" spans="1:18" x14ac:dyDescent="0.25">
      <c r="A72" s="31" t="s">
        <v>14</v>
      </c>
      <c r="B72" s="18">
        <v>528.5</v>
      </c>
      <c r="C72" s="18">
        <f>B72-I67</f>
        <v>499.6</v>
      </c>
      <c r="D72" s="18">
        <f>C72-J67</f>
        <v>464.70000000000005</v>
      </c>
      <c r="E72" s="18">
        <f>D72-K67</f>
        <v>429.80000000000007</v>
      </c>
      <c r="F72" s="18">
        <f>E72-L67</f>
        <v>394.90000000000009</v>
      </c>
      <c r="G72" s="18">
        <f>F72-M67</f>
        <v>351.6400000000001</v>
      </c>
      <c r="H72" s="15"/>
      <c r="I72" s="18">
        <f>224025/5280</f>
        <v>42.428977272727273</v>
      </c>
      <c r="J72" s="18">
        <f>229528/5280</f>
        <v>43.471212121212119</v>
      </c>
      <c r="K72" s="18">
        <f>235719/5280</f>
        <v>44.643749999999997</v>
      </c>
      <c r="L72" s="18">
        <f>246725/5280</f>
        <v>46.728219696969695</v>
      </c>
      <c r="M72" s="18">
        <f>254979/5280</f>
        <v>48.291477272727271</v>
      </c>
      <c r="N72" s="5" t="s">
        <v>19</v>
      </c>
      <c r="P72" s="7">
        <f t="shared" ref="P72:R75" si="73">E72*$R$4*$I$4*$I$5/1000</f>
        <v>12319.454253101238</v>
      </c>
      <c r="Q72" s="7">
        <f t="shared" si="73"/>
        <v>11319.107688575335</v>
      </c>
      <c r="R72" s="39">
        <f t="shared" si="73"/>
        <v>10079.136560168728</v>
      </c>
    </row>
    <row r="73" spans="1:18" x14ac:dyDescent="0.25">
      <c r="A73" s="31" t="s">
        <v>15</v>
      </c>
      <c r="B73" s="8">
        <v>0</v>
      </c>
      <c r="C73" s="18"/>
      <c r="D73" s="18"/>
      <c r="E73" s="18"/>
      <c r="F73" s="18"/>
      <c r="G73" s="18"/>
      <c r="H73" s="5"/>
      <c r="I73" s="5">
        <v>4375</v>
      </c>
      <c r="J73" s="5">
        <v>4485</v>
      </c>
      <c r="K73" s="5">
        <v>4609</v>
      </c>
      <c r="L73" s="5">
        <v>4829</v>
      </c>
      <c r="M73" s="5">
        <v>4994</v>
      </c>
      <c r="N73" s="5" t="s">
        <v>18</v>
      </c>
      <c r="P73" s="7">
        <f t="shared" si="73"/>
        <v>0</v>
      </c>
      <c r="Q73" s="7">
        <f t="shared" si="73"/>
        <v>0</v>
      </c>
      <c r="R73" s="39">
        <f t="shared" si="73"/>
        <v>0</v>
      </c>
    </row>
    <row r="74" spans="1:18" x14ac:dyDescent="0.25">
      <c r="A74" s="31" t="s">
        <v>16</v>
      </c>
      <c r="B74" s="8">
        <v>0</v>
      </c>
      <c r="C74" s="18"/>
      <c r="D74" s="18"/>
      <c r="E74" s="18"/>
      <c r="F74" s="18"/>
      <c r="G74" s="18"/>
      <c r="H74" s="5"/>
      <c r="I74" s="5"/>
      <c r="J74" s="5"/>
      <c r="K74" s="5"/>
      <c r="L74" s="5"/>
      <c r="M74" s="5"/>
      <c r="N74" s="5"/>
      <c r="P74" s="7">
        <f t="shared" si="73"/>
        <v>0</v>
      </c>
      <c r="Q74" s="7">
        <f t="shared" si="73"/>
        <v>0</v>
      </c>
      <c r="R74" s="39">
        <f t="shared" si="73"/>
        <v>0</v>
      </c>
    </row>
    <row r="75" spans="1:18" x14ac:dyDescent="0.25">
      <c r="A75" s="31" t="s">
        <v>17</v>
      </c>
      <c r="B75" s="18">
        <v>0.8</v>
      </c>
      <c r="C75" s="18">
        <f>B75</f>
        <v>0.8</v>
      </c>
      <c r="D75" s="18">
        <f t="shared" ref="D75:G75" si="74">C75</f>
        <v>0.8</v>
      </c>
      <c r="E75" s="18">
        <f t="shared" si="74"/>
        <v>0.8</v>
      </c>
      <c r="F75" s="18">
        <f t="shared" si="74"/>
        <v>0.8</v>
      </c>
      <c r="G75" s="18">
        <f t="shared" si="74"/>
        <v>0.8</v>
      </c>
      <c r="H75" s="5"/>
      <c r="I75" s="5"/>
      <c r="J75" s="5"/>
      <c r="K75" s="5"/>
      <c r="L75" s="5"/>
      <c r="M75" s="5"/>
      <c r="N75" s="5"/>
      <c r="P75" s="7">
        <f t="shared" si="73"/>
        <v>22.930580275665399</v>
      </c>
      <c r="Q75" s="7">
        <f t="shared" si="73"/>
        <v>22.930580275665399</v>
      </c>
      <c r="R75" s="39">
        <f t="shared" si="73"/>
        <v>22.930580275665399</v>
      </c>
    </row>
    <row r="76" spans="1:18" x14ac:dyDescent="0.25">
      <c r="A76" s="31" t="s">
        <v>30</v>
      </c>
      <c r="B76" s="18">
        <v>4960.6000000000004</v>
      </c>
      <c r="C76" s="18">
        <f>SUM(C67:C75)</f>
        <v>5003.0289772727274</v>
      </c>
      <c r="D76" s="18">
        <f t="shared" ref="D76:G76" si="75">SUM(D67:D75)</f>
        <v>5046.5001893939389</v>
      </c>
      <c r="E76" s="18">
        <f t="shared" si="75"/>
        <v>5091.1439393939399</v>
      </c>
      <c r="F76" s="18">
        <f t="shared" si="75"/>
        <v>5137.872159090909</v>
      </c>
      <c r="G76" s="18">
        <f t="shared" si="75"/>
        <v>5186.1636363636371</v>
      </c>
      <c r="H76" s="5"/>
      <c r="I76" s="5"/>
      <c r="J76" s="5"/>
      <c r="K76" s="5"/>
      <c r="L76" s="5"/>
      <c r="M76" s="5"/>
      <c r="N76" s="5"/>
      <c r="P76" s="8">
        <f>SUM(P67:P75)</f>
        <v>21485.913198227714</v>
      </c>
      <c r="Q76" s="8">
        <f t="shared" ref="Q76:R76" si="76">SUM(Q67:Q75)</f>
        <v>20061.034732740816</v>
      </c>
      <c r="R76" s="40">
        <f t="shared" si="76"/>
        <v>18479.20412361556</v>
      </c>
    </row>
    <row r="77" spans="1:18" x14ac:dyDescent="0.25">
      <c r="A77" s="29" t="s">
        <v>29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P77" s="8"/>
      <c r="Q77" s="8"/>
      <c r="R77" s="40"/>
    </row>
    <row r="78" spans="1:18" x14ac:dyDescent="0.25">
      <c r="A78" s="31" t="s">
        <v>9</v>
      </c>
      <c r="B78" s="5">
        <v>39856</v>
      </c>
      <c r="C78" s="8">
        <f>B78-I69*B78/(B78+B79)</f>
        <v>36173.150532654006</v>
      </c>
      <c r="D78" s="8">
        <f>C78-J69*C78/(C78+C79)</f>
        <v>32050.943584993052</v>
      </c>
      <c r="E78" s="8">
        <f>D78-K69*D78/(D78+D79)</f>
        <v>27928.736637332098</v>
      </c>
      <c r="F78" s="8">
        <f>E78-L69*E78/(E78+E79)</f>
        <v>23806.529689671144</v>
      </c>
      <c r="G78" s="8">
        <f>F78-M69*F78/(F78+F79)</f>
        <v>19884.618063918482</v>
      </c>
      <c r="H78" s="5"/>
      <c r="I78" s="5"/>
      <c r="J78" s="5"/>
      <c r="K78" s="5"/>
      <c r="L78" s="5"/>
      <c r="M78" s="5"/>
      <c r="N78" s="5"/>
      <c r="P78" s="7">
        <f t="shared" ref="P78:R79" si="77">E78*$R$10*$I$4*$I$5/1000</f>
        <v>3619.2678325827583</v>
      </c>
      <c r="Q78" s="7">
        <f t="shared" si="77"/>
        <v>3085.0735652711519</v>
      </c>
      <c r="R78" s="39">
        <f t="shared" si="77"/>
        <v>2576.8354457442783</v>
      </c>
    </row>
    <row r="79" spans="1:18" x14ac:dyDescent="0.25">
      <c r="A79" s="31" t="s">
        <v>10</v>
      </c>
      <c r="B79" s="5">
        <v>3324</v>
      </c>
      <c r="C79" s="8">
        <f>B79-I69*B79/(B78+B79)</f>
        <v>3016.8494673459936</v>
      </c>
      <c r="D79" s="8">
        <f>C79-J69*C79/(C78+C79)</f>
        <v>2673.0564150069476</v>
      </c>
      <c r="E79" s="8">
        <f>D79-K69*D79/(D78+D79)</f>
        <v>2329.2633626679017</v>
      </c>
      <c r="F79" s="8">
        <f>E79-L69*E79/(E78+E79)</f>
        <v>1985.4703103288559</v>
      </c>
      <c r="G79" s="8">
        <f>F79-M69*F79/(F78+F79)</f>
        <v>1658.3819360815191</v>
      </c>
      <c r="H79" s="5"/>
      <c r="I79" s="5"/>
      <c r="J79" s="5"/>
      <c r="K79" s="5"/>
      <c r="L79" s="5"/>
      <c r="M79" s="5"/>
      <c r="N79" s="5"/>
      <c r="P79" s="7">
        <f t="shared" si="77"/>
        <v>301.84780900002733</v>
      </c>
      <c r="Q79" s="7">
        <f t="shared" si="77"/>
        <v>257.29587843640377</v>
      </c>
      <c r="R79" s="39">
        <f t="shared" si="77"/>
        <v>214.90869685000953</v>
      </c>
    </row>
    <row r="80" spans="1:18" x14ac:dyDescent="0.25">
      <c r="A80" s="31" t="s">
        <v>11</v>
      </c>
      <c r="B80" s="5">
        <v>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P80" s="7">
        <f t="shared" ref="P80:R81" si="78">E80*$R$11*$I$4*$I$5/1000</f>
        <v>0</v>
      </c>
      <c r="Q80" s="7">
        <f t="shared" si="78"/>
        <v>0</v>
      </c>
      <c r="R80" s="39">
        <f t="shared" si="78"/>
        <v>0</v>
      </c>
    </row>
    <row r="81" spans="1:18" x14ac:dyDescent="0.25">
      <c r="A81" s="31" t="s">
        <v>12</v>
      </c>
      <c r="B81" s="5">
        <v>47198</v>
      </c>
      <c r="C81" s="5">
        <f>B81</f>
        <v>47198</v>
      </c>
      <c r="D81" s="5">
        <f t="shared" ref="D81" si="79">C81</f>
        <v>47198</v>
      </c>
      <c r="E81" s="5">
        <f t="shared" ref="E81" si="80">D81</f>
        <v>47198</v>
      </c>
      <c r="F81" s="5">
        <f t="shared" ref="F81" si="81">E81</f>
        <v>47198</v>
      </c>
      <c r="G81" s="5">
        <f t="shared" ref="G81" si="82">F81</f>
        <v>47198</v>
      </c>
      <c r="H81" s="5"/>
      <c r="I81" s="5"/>
      <c r="J81" s="5"/>
      <c r="K81" s="5"/>
      <c r="L81" s="5"/>
      <c r="M81" s="5"/>
      <c r="N81" s="5"/>
      <c r="P81" s="7">
        <f t="shared" si="78"/>
        <v>2642.2163690267171</v>
      </c>
      <c r="Q81" s="7">
        <f t="shared" si="78"/>
        <v>2642.2163690267171</v>
      </c>
      <c r="R81" s="39">
        <f t="shared" si="78"/>
        <v>2642.2163690267171</v>
      </c>
    </row>
    <row r="82" spans="1:18" x14ac:dyDescent="0.25">
      <c r="A82" s="31" t="s">
        <v>13</v>
      </c>
      <c r="B82" s="5">
        <v>175138</v>
      </c>
      <c r="C82" s="5">
        <f>B82+I69+I73</f>
        <v>183503</v>
      </c>
      <c r="D82" s="5">
        <f>C82+J69+J73</f>
        <v>192454</v>
      </c>
      <c r="E82" s="5">
        <f>D82+K69+K73</f>
        <v>201529</v>
      </c>
      <c r="F82" s="5">
        <f>E82+L69+L73</f>
        <v>210824</v>
      </c>
      <c r="G82" s="5">
        <f>F82+M69+M73</f>
        <v>220067</v>
      </c>
      <c r="H82" s="5"/>
      <c r="I82" s="5"/>
      <c r="J82" s="5"/>
      <c r="K82" s="5"/>
      <c r="L82" s="5"/>
      <c r="M82" s="5"/>
      <c r="N82" s="5"/>
      <c r="P82" s="7">
        <f>E82*$R$12*$I$4*$I$5/1000</f>
        <v>1034.9612150813621</v>
      </c>
      <c r="Q82" s="7">
        <f>F82*$R$12*$I$4*$I$5/1000</f>
        <v>1082.6961043240085</v>
      </c>
      <c r="R82" s="39">
        <f>G82*$R$12*$I$4*$I$5/1000</f>
        <v>1130.1639452352274</v>
      </c>
    </row>
    <row r="83" spans="1:18" x14ac:dyDescent="0.25">
      <c r="A83" s="31" t="s">
        <v>14</v>
      </c>
      <c r="B83" s="5">
        <v>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P83" s="7">
        <f t="shared" ref="P83:R84" si="83">E83*$R$10*$I$4*$I$5/1000</f>
        <v>0</v>
      </c>
      <c r="Q83" s="7">
        <f t="shared" si="83"/>
        <v>0</v>
      </c>
      <c r="R83" s="39">
        <f t="shared" si="83"/>
        <v>0</v>
      </c>
    </row>
    <row r="84" spans="1:18" x14ac:dyDescent="0.25">
      <c r="A84" s="31" t="s">
        <v>15</v>
      </c>
      <c r="B84" s="5">
        <v>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P84" s="7">
        <f t="shared" si="83"/>
        <v>0</v>
      </c>
      <c r="Q84" s="7">
        <f t="shared" si="83"/>
        <v>0</v>
      </c>
      <c r="R84" s="39">
        <f t="shared" si="83"/>
        <v>0</v>
      </c>
    </row>
    <row r="85" spans="1:18" x14ac:dyDescent="0.25">
      <c r="A85" s="31" t="s">
        <v>16</v>
      </c>
      <c r="B85" s="5">
        <v>541</v>
      </c>
      <c r="C85" s="12">
        <f>B85</f>
        <v>541</v>
      </c>
      <c r="D85" s="12">
        <f t="shared" ref="D85:G85" si="84">C85</f>
        <v>541</v>
      </c>
      <c r="E85" s="12">
        <f t="shared" si="84"/>
        <v>541</v>
      </c>
      <c r="F85" s="12">
        <f t="shared" si="84"/>
        <v>541</v>
      </c>
      <c r="G85" s="12">
        <f t="shared" si="84"/>
        <v>541</v>
      </c>
      <c r="H85" s="5"/>
      <c r="I85" s="5"/>
      <c r="J85" s="5"/>
      <c r="K85" s="5"/>
      <c r="L85" s="5"/>
      <c r="M85" s="5"/>
      <c r="N85" s="5"/>
      <c r="P85" s="7">
        <f>E85*$R$13*$I$4*$I$5/1000</f>
        <v>65.95872</v>
      </c>
      <c r="Q85" s="7">
        <f>F85*$R$13*$I$4*$I$5/1000</f>
        <v>65.95872</v>
      </c>
      <c r="R85" s="39">
        <f>G85*$R$13*$I$4*$I$5/1000</f>
        <v>65.95872</v>
      </c>
    </row>
    <row r="86" spans="1:18" x14ac:dyDescent="0.25">
      <c r="A86" s="31" t="s">
        <v>17</v>
      </c>
      <c r="B86" s="5">
        <v>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P86" s="7">
        <f>E86*$R$10*$I$4*$I$5/1000</f>
        <v>0</v>
      </c>
      <c r="Q86" s="7">
        <f>F86*$R$10*$I$4*$I$5/1000</f>
        <v>0</v>
      </c>
      <c r="R86" s="39">
        <f>G86*$R$10*$I$4*$I$5/1000</f>
        <v>0</v>
      </c>
    </row>
    <row r="87" spans="1:18" x14ac:dyDescent="0.25">
      <c r="A87" s="31" t="s">
        <v>31</v>
      </c>
      <c r="B87" s="5">
        <v>266057</v>
      </c>
      <c r="C87" s="5">
        <f>SUM(C78:C86)</f>
        <v>270432</v>
      </c>
      <c r="D87" s="5">
        <f t="shared" ref="D87:G87" si="85">SUM(D78:D86)</f>
        <v>274917</v>
      </c>
      <c r="E87" s="5">
        <f t="shared" si="85"/>
        <v>279526</v>
      </c>
      <c r="F87" s="5">
        <f t="shared" si="85"/>
        <v>284355</v>
      </c>
      <c r="G87" s="5">
        <f t="shared" si="85"/>
        <v>289349</v>
      </c>
      <c r="H87" s="5"/>
      <c r="I87" s="5"/>
      <c r="J87" s="5"/>
      <c r="K87" s="5"/>
      <c r="L87" s="5"/>
      <c r="M87" s="5"/>
      <c r="N87" s="5"/>
      <c r="P87" s="7">
        <f>SUM(P78:P86)</f>
        <v>7664.251945690864</v>
      </c>
      <c r="Q87" s="7">
        <f t="shared" ref="Q87:R87" si="86">SUM(Q78:Q86)</f>
        <v>7133.2406370582803</v>
      </c>
      <c r="R87" s="39">
        <f t="shared" si="86"/>
        <v>6630.0831768562321</v>
      </c>
    </row>
    <row r="88" spans="1:18" x14ac:dyDescent="0.25">
      <c r="A88" s="32" t="s">
        <v>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>
        <f>P76+P87</f>
        <v>29150.165143918577</v>
      </c>
      <c r="Q88" s="35">
        <f t="shared" ref="Q88:R88" si="87">Q76+Q87</f>
        <v>27194.275369799096</v>
      </c>
      <c r="R88" s="41">
        <f t="shared" si="87"/>
        <v>25109.287300471791</v>
      </c>
    </row>
    <row r="90" spans="1:18" x14ac:dyDescent="0.25">
      <c r="A90" s="25" t="s">
        <v>27</v>
      </c>
      <c r="B90" s="26" t="s">
        <v>33</v>
      </c>
      <c r="C90" s="47" t="s">
        <v>34</v>
      </c>
      <c r="D90" s="47"/>
      <c r="E90" s="47"/>
      <c r="F90" s="47"/>
      <c r="G90" s="47"/>
      <c r="H90" s="27"/>
      <c r="I90" s="38" t="s">
        <v>38</v>
      </c>
      <c r="J90" s="27"/>
      <c r="K90" s="27"/>
      <c r="L90" s="27"/>
      <c r="M90" s="27"/>
      <c r="N90" s="27"/>
      <c r="O90" s="27"/>
      <c r="P90" s="48" t="s">
        <v>32</v>
      </c>
      <c r="Q90" s="48"/>
      <c r="R90" s="49"/>
    </row>
    <row r="91" spans="1:18" x14ac:dyDescent="0.25">
      <c r="A91" s="29" t="s">
        <v>28</v>
      </c>
      <c r="B91" s="3">
        <v>2015</v>
      </c>
      <c r="C91" s="3">
        <v>2016</v>
      </c>
      <c r="D91" s="3">
        <v>2017</v>
      </c>
      <c r="E91" s="3">
        <v>2018</v>
      </c>
      <c r="F91" s="3">
        <v>2019</v>
      </c>
      <c r="G91" s="3">
        <v>2020</v>
      </c>
      <c r="I91" s="3">
        <v>2016</v>
      </c>
      <c r="J91" s="3">
        <v>2017</v>
      </c>
      <c r="K91" s="3">
        <v>2018</v>
      </c>
      <c r="L91" s="3">
        <v>2019</v>
      </c>
      <c r="M91" s="3">
        <v>2020</v>
      </c>
      <c r="P91" s="3">
        <v>2018</v>
      </c>
      <c r="Q91" s="3">
        <v>2019</v>
      </c>
      <c r="R91" s="30">
        <v>2020</v>
      </c>
    </row>
    <row r="92" spans="1:18" x14ac:dyDescent="0.25">
      <c r="A92" s="31" t="s">
        <v>9</v>
      </c>
      <c r="B92" s="3">
        <v>20.58</v>
      </c>
      <c r="C92" s="6">
        <f>B92</f>
        <v>20.58</v>
      </c>
      <c r="D92" s="17">
        <f>C92-J93*C92/(C92+C93)</f>
        <v>19.825309059452657</v>
      </c>
      <c r="E92" s="17">
        <f>D92-K93*D92/(D92+D93)</f>
        <v>19.627917977351366</v>
      </c>
      <c r="F92" s="17">
        <f>E92-L93*E92/(E92+E93)</f>
        <v>19.563469644542305</v>
      </c>
      <c r="G92" s="17">
        <f>F92-M92*F92/(F92+F93+F97)</f>
        <v>18.292561454291214</v>
      </c>
      <c r="H92" s="2"/>
      <c r="I92" s="3">
        <f>36271/5280</f>
        <v>6.8695075757575754</v>
      </c>
      <c r="J92" s="6">
        <f>40178/5280</f>
        <v>7.6094696969696969</v>
      </c>
      <c r="K92" s="6">
        <f>35062/5280</f>
        <v>6.6405303030303031</v>
      </c>
      <c r="L92" s="6">
        <f>31410/5280</f>
        <v>5.9488636363636367</v>
      </c>
      <c r="M92" s="50">
        <v>5.5</v>
      </c>
      <c r="N92" s="5" t="s">
        <v>47</v>
      </c>
      <c r="P92" s="7">
        <f t="shared" ref="P92:R93" si="88">E92*$R$5*$I$4*$I$5/1000</f>
        <v>398.09300792151379</v>
      </c>
      <c r="Q92" s="7">
        <f t="shared" si="88"/>
        <v>396.78586822931152</v>
      </c>
      <c r="R92" s="39">
        <f t="shared" si="88"/>
        <v>371.00933580070921</v>
      </c>
    </row>
    <row r="93" spans="1:18" x14ac:dyDescent="0.25">
      <c r="A93" s="31" t="s">
        <v>10</v>
      </c>
      <c r="B93" s="3">
        <v>19.88</v>
      </c>
      <c r="C93" s="3">
        <f>B93</f>
        <v>19.88</v>
      </c>
      <c r="D93" s="6">
        <f>C93-J93*C93/(C92+C93)</f>
        <v>19.150978819335219</v>
      </c>
      <c r="E93" s="6">
        <f>D93-K93*D93/(D92+D93)</f>
        <v>18.960301719618325</v>
      </c>
      <c r="F93" s="6">
        <f>E93-L93*E93/(E92+E93)</f>
        <v>18.898045506972839</v>
      </c>
      <c r="G93" s="6">
        <f>F93-M92*F93/(F92+F93+F97)</f>
        <v>17.670365486458181</v>
      </c>
      <c r="H93" s="2"/>
      <c r="I93" s="3">
        <v>0</v>
      </c>
      <c r="J93" s="6">
        <f>7834/5280</f>
        <v>1.4837121212121211</v>
      </c>
      <c r="K93" s="6">
        <f>2049/5280</f>
        <v>0.38806818181818181</v>
      </c>
      <c r="L93" s="6">
        <f>669/5280</f>
        <v>0.12670454545454546</v>
      </c>
      <c r="M93" s="50"/>
      <c r="N93" s="5" t="s">
        <v>48</v>
      </c>
      <c r="P93" s="7">
        <f t="shared" si="88"/>
        <v>384.55242942078195</v>
      </c>
      <c r="Q93" s="7">
        <f t="shared" si="88"/>
        <v>383.28975026232814</v>
      </c>
      <c r="R93" s="39">
        <f t="shared" si="88"/>
        <v>358.38997063741976</v>
      </c>
    </row>
    <row r="94" spans="1:18" x14ac:dyDescent="0.25">
      <c r="A94" s="31" t="s">
        <v>11</v>
      </c>
      <c r="B94" s="3">
        <v>0</v>
      </c>
      <c r="H94" s="2"/>
      <c r="I94" s="1">
        <v>387</v>
      </c>
      <c r="J94" s="3">
        <v>465</v>
      </c>
      <c r="K94" s="3">
        <v>395</v>
      </c>
      <c r="L94" s="3">
        <v>393</v>
      </c>
      <c r="M94" s="13">
        <f>(F103+F110)/15</f>
        <v>100.53333333333333</v>
      </c>
      <c r="N94" s="3" t="s">
        <v>18</v>
      </c>
      <c r="P94" s="7">
        <f t="shared" ref="P94:R95" si="89">E94*$R$6*$I$4*$I$5/1000</f>
        <v>0</v>
      </c>
      <c r="Q94" s="7">
        <f t="shared" si="89"/>
        <v>0</v>
      </c>
      <c r="R94" s="39">
        <f t="shared" si="89"/>
        <v>0</v>
      </c>
    </row>
    <row r="95" spans="1:18" x14ac:dyDescent="0.25">
      <c r="A95" s="31" t="s">
        <v>12</v>
      </c>
      <c r="B95" s="3">
        <v>367.61</v>
      </c>
      <c r="C95" s="3">
        <f>B95</f>
        <v>367.61</v>
      </c>
      <c r="D95" s="3">
        <f t="shared" ref="D95:G95" si="90">C95</f>
        <v>367.61</v>
      </c>
      <c r="E95" s="3">
        <f t="shared" si="90"/>
        <v>367.61</v>
      </c>
      <c r="F95" s="3">
        <f t="shared" si="90"/>
        <v>367.61</v>
      </c>
      <c r="G95" s="3">
        <f t="shared" si="90"/>
        <v>367.61</v>
      </c>
      <c r="H95" s="2"/>
      <c r="P95" s="7">
        <f t="shared" si="89"/>
        <v>663.18822343851662</v>
      </c>
      <c r="Q95" s="7">
        <f t="shared" si="89"/>
        <v>663.18822343851662</v>
      </c>
      <c r="R95" s="39">
        <f t="shared" si="89"/>
        <v>663.18822343851662</v>
      </c>
    </row>
    <row r="96" spans="1:18" x14ac:dyDescent="0.25">
      <c r="A96" s="31" t="s">
        <v>13</v>
      </c>
      <c r="B96" s="3">
        <v>280.26</v>
      </c>
      <c r="C96" s="6">
        <f>B96+I92+I93+I97</f>
        <v>288.26587121212117</v>
      </c>
      <c r="D96" s="6">
        <f>C96+J92+J93+J97</f>
        <v>298.49541666666664</v>
      </c>
      <c r="E96" s="6">
        <f>D96+K92+K93+K97</f>
        <v>306.66037878787876</v>
      </c>
      <c r="F96" s="6">
        <f>E96+L92+L93+L97</f>
        <v>313.87231060606058</v>
      </c>
      <c r="G96" s="6">
        <f>F96+M92+M93+M97</f>
        <v>320.50867424242421</v>
      </c>
      <c r="H96" s="2"/>
      <c r="I96" s="3" t="s">
        <v>37</v>
      </c>
      <c r="P96" s="7">
        <f>E96*$R$7*$I$4*$I$5/1000</f>
        <v>66.110825385126446</v>
      </c>
      <c r="Q96" s="7">
        <f>F96*$R$7*$I$4*$I$5/1000</f>
        <v>67.665596715566423</v>
      </c>
      <c r="R96" s="39">
        <f>G96*$R$7*$I$4*$I$5/1000</f>
        <v>69.096285216278531</v>
      </c>
    </row>
    <row r="97" spans="1:18" x14ac:dyDescent="0.25">
      <c r="A97" s="31" t="s">
        <v>14</v>
      </c>
      <c r="B97" s="3">
        <v>73.27</v>
      </c>
      <c r="C97" s="6">
        <f>B97-I92</f>
        <v>66.400492424242415</v>
      </c>
      <c r="D97" s="6">
        <f>C97-J92</f>
        <v>58.791022727272718</v>
      </c>
      <c r="E97" s="6">
        <f>D97-K92</f>
        <v>52.150492424242415</v>
      </c>
      <c r="F97" s="6">
        <f>E97-L92</f>
        <v>46.201628787878775</v>
      </c>
      <c r="G97" s="6">
        <f>F97-M92*F97/(F92+F93+F97)</f>
        <v>43.200216998644521</v>
      </c>
      <c r="H97" s="2"/>
      <c r="I97" s="6">
        <f>6000/5280</f>
        <v>1.1363636363636365</v>
      </c>
      <c r="J97" s="6">
        <f t="shared" ref="J97:M97" si="91">6000/5280</f>
        <v>1.1363636363636365</v>
      </c>
      <c r="K97" s="6">
        <f t="shared" si="91"/>
        <v>1.1363636363636365</v>
      </c>
      <c r="L97" s="6">
        <f t="shared" si="91"/>
        <v>1.1363636363636365</v>
      </c>
      <c r="M97" s="6">
        <f t="shared" si="91"/>
        <v>1.1363636363636365</v>
      </c>
      <c r="N97" s="3" t="s">
        <v>19</v>
      </c>
      <c r="P97" s="7">
        <f t="shared" ref="P97:R100" si="92">E97*$R$4*$I$4*$I$5/1000</f>
        <v>1494.8013161869635</v>
      </c>
      <c r="Q97" s="7">
        <f t="shared" si="92"/>
        <v>1324.2876972336844</v>
      </c>
      <c r="R97" s="39">
        <f t="shared" si="92"/>
        <v>1238.2575547669787</v>
      </c>
    </row>
    <row r="98" spans="1:18" x14ac:dyDescent="0.25">
      <c r="A98" s="31" t="s">
        <v>15</v>
      </c>
      <c r="B98" s="3">
        <v>0</v>
      </c>
      <c r="I98" s="3">
        <v>400</v>
      </c>
      <c r="J98" s="3">
        <v>400</v>
      </c>
      <c r="K98" s="3">
        <v>400</v>
      </c>
      <c r="L98" s="3">
        <v>400</v>
      </c>
      <c r="M98" s="3">
        <v>400</v>
      </c>
      <c r="N98" s="3" t="s">
        <v>18</v>
      </c>
      <c r="P98" s="7">
        <f t="shared" si="92"/>
        <v>0</v>
      </c>
      <c r="Q98" s="7">
        <f t="shared" si="92"/>
        <v>0</v>
      </c>
      <c r="R98" s="39">
        <f t="shared" si="92"/>
        <v>0</v>
      </c>
    </row>
    <row r="99" spans="1:18" x14ac:dyDescent="0.25">
      <c r="A99" s="31" t="s">
        <v>16</v>
      </c>
      <c r="B99" s="3">
        <v>0</v>
      </c>
      <c r="P99" s="7">
        <f t="shared" si="92"/>
        <v>0</v>
      </c>
      <c r="Q99" s="7">
        <f t="shared" si="92"/>
        <v>0</v>
      </c>
      <c r="R99" s="39">
        <f t="shared" si="92"/>
        <v>0</v>
      </c>
    </row>
    <row r="100" spans="1:18" x14ac:dyDescent="0.25">
      <c r="A100" s="31" t="s">
        <v>17</v>
      </c>
      <c r="B100" s="3">
        <v>0</v>
      </c>
      <c r="P100" s="7">
        <f t="shared" si="92"/>
        <v>0</v>
      </c>
      <c r="Q100" s="7">
        <f t="shared" si="92"/>
        <v>0</v>
      </c>
      <c r="R100" s="39">
        <f t="shared" si="92"/>
        <v>0</v>
      </c>
    </row>
    <row r="101" spans="1:18" x14ac:dyDescent="0.25">
      <c r="A101" s="31" t="s">
        <v>30</v>
      </c>
      <c r="B101" s="6">
        <v>761.6</v>
      </c>
      <c r="C101" s="6">
        <f>SUM(C92:C100)</f>
        <v>762.73636363636365</v>
      </c>
      <c r="D101" s="6">
        <f t="shared" ref="D101:G101" si="93">SUM(D92:D100)</f>
        <v>763.87272727272716</v>
      </c>
      <c r="E101" s="6">
        <f t="shared" si="93"/>
        <v>765.0090909090909</v>
      </c>
      <c r="F101" s="6">
        <f t="shared" si="93"/>
        <v>766.14545454545453</v>
      </c>
      <c r="G101" s="6">
        <f t="shared" si="93"/>
        <v>767.28181818181815</v>
      </c>
      <c r="P101" s="8">
        <f>SUM(P92:P100)</f>
        <v>3006.7458023529025</v>
      </c>
      <c r="Q101" s="8">
        <f t="shared" ref="Q101:R101" si="94">SUM(Q92:Q100)</f>
        <v>2835.2171358794071</v>
      </c>
      <c r="R101" s="40">
        <f t="shared" si="94"/>
        <v>2699.9413698599028</v>
      </c>
    </row>
    <row r="102" spans="1:18" x14ac:dyDescent="0.25">
      <c r="A102" s="29" t="s">
        <v>29</v>
      </c>
      <c r="P102" s="8"/>
      <c r="Q102" s="8"/>
      <c r="R102" s="40"/>
    </row>
    <row r="103" spans="1:18" x14ac:dyDescent="0.25">
      <c r="A103" s="31" t="s">
        <v>9</v>
      </c>
      <c r="B103" s="3">
        <v>2864</v>
      </c>
      <c r="C103" s="7">
        <f>B103-(I94-20)</f>
        <v>2497</v>
      </c>
      <c r="D103" s="7">
        <f>C103-(J94-20)</f>
        <v>2052</v>
      </c>
      <c r="E103" s="7">
        <f>D103-(K94-20)</f>
        <v>1677</v>
      </c>
      <c r="F103" s="7">
        <f>E103-(L94-20)</f>
        <v>1304</v>
      </c>
      <c r="G103" s="7">
        <f>F103-(M94-20)</f>
        <v>1223.4666666666667</v>
      </c>
      <c r="P103" s="7">
        <f t="shared" ref="P103:R104" si="95">E103*$R$10*$I$4*$I$5/1000</f>
        <v>217.32140032171097</v>
      </c>
      <c r="Q103" s="7">
        <f t="shared" si="95"/>
        <v>168.98455934377526</v>
      </c>
      <c r="R103" s="39">
        <f t="shared" si="95"/>
        <v>158.54829412458915</v>
      </c>
    </row>
    <row r="104" spans="1:18" x14ac:dyDescent="0.25">
      <c r="A104" s="31" t="s">
        <v>10</v>
      </c>
      <c r="B104" s="3">
        <v>2224</v>
      </c>
      <c r="C104" s="3">
        <f>B104</f>
        <v>2224</v>
      </c>
      <c r="D104" s="3">
        <f t="shared" ref="D104:G104" si="96">C104</f>
        <v>2224</v>
      </c>
      <c r="E104" s="3">
        <f t="shared" si="96"/>
        <v>2224</v>
      </c>
      <c r="F104" s="3">
        <f t="shared" si="96"/>
        <v>2224</v>
      </c>
      <c r="G104" s="3">
        <f t="shared" si="96"/>
        <v>2224</v>
      </c>
      <c r="P104" s="7">
        <f t="shared" si="95"/>
        <v>288.20679446361675</v>
      </c>
      <c r="Q104" s="7">
        <f t="shared" si="95"/>
        <v>288.20679446361675</v>
      </c>
      <c r="R104" s="39">
        <f t="shared" si="95"/>
        <v>288.20679446361675</v>
      </c>
    </row>
    <row r="105" spans="1:18" x14ac:dyDescent="0.25">
      <c r="A105" s="31" t="s">
        <v>11</v>
      </c>
      <c r="B105" s="3">
        <v>0</v>
      </c>
      <c r="P105" s="7">
        <f t="shared" ref="P105:R106" si="97">E105*$R$11*$I$4*$I$5/1000</f>
        <v>0</v>
      </c>
      <c r="Q105" s="7">
        <f t="shared" si="97"/>
        <v>0</v>
      </c>
      <c r="R105" s="39">
        <f t="shared" si="97"/>
        <v>0</v>
      </c>
    </row>
    <row r="106" spans="1:18" x14ac:dyDescent="0.25">
      <c r="A106" s="31" t="s">
        <v>12</v>
      </c>
      <c r="B106" s="3">
        <v>6461</v>
      </c>
      <c r="C106" s="3">
        <f>B106</f>
        <v>6461</v>
      </c>
      <c r="D106" s="3">
        <f t="shared" ref="D106:G106" si="98">C106</f>
        <v>6461</v>
      </c>
      <c r="E106" s="3">
        <f t="shared" si="98"/>
        <v>6461</v>
      </c>
      <c r="F106" s="3">
        <f t="shared" si="98"/>
        <v>6461</v>
      </c>
      <c r="G106" s="3">
        <f t="shared" si="98"/>
        <v>6461</v>
      </c>
      <c r="P106" s="7">
        <f t="shared" si="97"/>
        <v>361.69668122127251</v>
      </c>
      <c r="Q106" s="7">
        <f t="shared" si="97"/>
        <v>361.69668122127251</v>
      </c>
      <c r="R106" s="39">
        <f t="shared" si="97"/>
        <v>361.69668122127251</v>
      </c>
    </row>
    <row r="107" spans="1:18" x14ac:dyDescent="0.25">
      <c r="A107" s="31" t="s">
        <v>13</v>
      </c>
      <c r="B107" s="3">
        <v>20381</v>
      </c>
      <c r="C107" s="3">
        <f>B107+I94+I98</f>
        <v>21168</v>
      </c>
      <c r="D107" s="3">
        <f>C107+J94+J98</f>
        <v>22033</v>
      </c>
      <c r="E107" s="3">
        <f>D107+K94+K98</f>
        <v>22828</v>
      </c>
      <c r="F107" s="3">
        <f>E107+L94+L98</f>
        <v>23621</v>
      </c>
      <c r="G107" s="7">
        <f>F107+M94+M98</f>
        <v>24121.533333333333</v>
      </c>
      <c r="P107" s="7">
        <f>E107*$R$12*$I$4*$I$5/1000</f>
        <v>117.23421749662498</v>
      </c>
      <c r="Q107" s="7">
        <f>F107*$R$12*$I$4*$I$5/1000</f>
        <v>121.30670455089272</v>
      </c>
      <c r="R107" s="39">
        <f>G107*$R$12*$I$4*$I$5/1000</f>
        <v>123.87721592570919</v>
      </c>
    </row>
    <row r="108" spans="1:18" x14ac:dyDescent="0.25">
      <c r="A108" s="31" t="s">
        <v>14</v>
      </c>
      <c r="B108" s="3">
        <v>1</v>
      </c>
      <c r="C108" s="3">
        <f>B108</f>
        <v>1</v>
      </c>
      <c r="D108" s="3">
        <f t="shared" ref="D108:G108" si="99">C108</f>
        <v>1</v>
      </c>
      <c r="E108" s="3">
        <f t="shared" si="99"/>
        <v>1</v>
      </c>
      <c r="F108" s="3">
        <f t="shared" si="99"/>
        <v>1</v>
      </c>
      <c r="G108" s="3">
        <f t="shared" si="99"/>
        <v>1</v>
      </c>
      <c r="P108" s="7">
        <f t="shared" ref="P108:R109" si="100">E108*$R$10*$I$4*$I$5/1000</f>
        <v>0.12958938599982764</v>
      </c>
      <c r="Q108" s="7">
        <f t="shared" si="100"/>
        <v>0.12958938599982764</v>
      </c>
      <c r="R108" s="39">
        <f t="shared" si="100"/>
        <v>0.12958938599982764</v>
      </c>
    </row>
    <row r="109" spans="1:18" x14ac:dyDescent="0.25">
      <c r="A109" s="31" t="s">
        <v>15</v>
      </c>
      <c r="B109" s="3">
        <v>0</v>
      </c>
      <c r="P109" s="7">
        <f t="shared" si="100"/>
        <v>0</v>
      </c>
      <c r="Q109" s="7">
        <f t="shared" si="100"/>
        <v>0</v>
      </c>
      <c r="R109" s="39">
        <f t="shared" si="100"/>
        <v>0</v>
      </c>
    </row>
    <row r="110" spans="1:18" x14ac:dyDescent="0.25">
      <c r="A110" s="31" t="s">
        <v>16</v>
      </c>
      <c r="B110" s="3">
        <v>284</v>
      </c>
      <c r="C110" s="12">
        <f>B110-20</f>
        <v>264</v>
      </c>
      <c r="D110" s="7">
        <f t="shared" ref="D110:E110" si="101">C110-20</f>
        <v>244</v>
      </c>
      <c r="E110" s="7">
        <f t="shared" si="101"/>
        <v>224</v>
      </c>
      <c r="F110" s="7">
        <f>E110-20</f>
        <v>204</v>
      </c>
      <c r="G110" s="7">
        <f>F110-20</f>
        <v>184</v>
      </c>
      <c r="P110" s="7">
        <f>E110*$R$13*$I$4*$I$5/1000</f>
        <v>27.310079999999999</v>
      </c>
      <c r="Q110" s="7">
        <f>F110*$R$13*$I$4*$I$5/1000</f>
        <v>24.871679999999998</v>
      </c>
      <c r="R110" s="39">
        <f>G110*$R$13*$I$4*$I$5/1000</f>
        <v>22.43328</v>
      </c>
    </row>
    <row r="111" spans="1:18" x14ac:dyDescent="0.25">
      <c r="A111" s="31" t="s">
        <v>17</v>
      </c>
      <c r="B111" s="3">
        <v>0</v>
      </c>
      <c r="P111" s="7">
        <f>E111*$R$10*$I$4*$I$5/1000</f>
        <v>0</v>
      </c>
      <c r="Q111" s="7">
        <f>F111*$R$10*$I$4*$I$5/1000</f>
        <v>0</v>
      </c>
      <c r="R111" s="39">
        <f>G111*$R$10*$I$4*$I$5/1000</f>
        <v>0</v>
      </c>
    </row>
    <row r="112" spans="1:18" x14ac:dyDescent="0.25">
      <c r="A112" s="31" t="s">
        <v>31</v>
      </c>
      <c r="B112" s="3">
        <v>32215</v>
      </c>
      <c r="C112" s="3">
        <f>SUM(C103:C111)</f>
        <v>32615</v>
      </c>
      <c r="D112" s="3">
        <f t="shared" ref="D112:G112" si="102">SUM(D103:D111)</f>
        <v>33015</v>
      </c>
      <c r="E112" s="3">
        <f t="shared" si="102"/>
        <v>33415</v>
      </c>
      <c r="F112" s="3">
        <f t="shared" si="102"/>
        <v>33815</v>
      </c>
      <c r="G112" s="3">
        <f t="shared" si="102"/>
        <v>34215</v>
      </c>
      <c r="P112" s="7">
        <f>SUM(P103:P111)</f>
        <v>1011.8987628892249</v>
      </c>
      <c r="Q112" s="7">
        <f t="shared" ref="Q112:R112" si="103">SUM(Q103:Q111)</f>
        <v>965.19600896555698</v>
      </c>
      <c r="R112" s="39">
        <f t="shared" si="103"/>
        <v>954.8918551211874</v>
      </c>
    </row>
    <row r="113" spans="1:18" x14ac:dyDescent="0.25">
      <c r="A113" s="32" t="s">
        <v>8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5">
        <f>P101+P112</f>
        <v>4018.6445652421276</v>
      </c>
      <c r="Q113" s="35">
        <f t="shared" ref="Q113:R113" si="104">Q101+Q112</f>
        <v>3800.4131448449643</v>
      </c>
      <c r="R113" s="41">
        <f t="shared" si="104"/>
        <v>3654.8332249810901</v>
      </c>
    </row>
    <row r="115" spans="1:18" x14ac:dyDescent="0.25">
      <c r="A115" s="25" t="s">
        <v>43</v>
      </c>
      <c r="B115" s="26" t="s">
        <v>33</v>
      </c>
      <c r="C115" s="47" t="s">
        <v>34</v>
      </c>
      <c r="D115" s="47"/>
      <c r="E115" s="47"/>
      <c r="F115" s="47"/>
      <c r="G115" s="47"/>
      <c r="H115" s="27"/>
      <c r="I115" s="38" t="s">
        <v>50</v>
      </c>
      <c r="J115" s="27"/>
      <c r="K115" s="27"/>
      <c r="L115" s="27"/>
      <c r="M115" s="27"/>
      <c r="N115" s="27"/>
      <c r="O115" s="27"/>
      <c r="P115" s="48" t="s">
        <v>32</v>
      </c>
      <c r="Q115" s="48"/>
      <c r="R115" s="49"/>
    </row>
    <row r="116" spans="1:18" x14ac:dyDescent="0.25">
      <c r="A116" s="29" t="s">
        <v>28</v>
      </c>
      <c r="B116" s="3">
        <v>2015</v>
      </c>
      <c r="C116" s="3">
        <v>2016</v>
      </c>
      <c r="D116" s="3">
        <v>2017</v>
      </c>
      <c r="E116" s="3">
        <v>2018</v>
      </c>
      <c r="F116" s="3">
        <v>2019</v>
      </c>
      <c r="G116" s="3">
        <v>2020</v>
      </c>
      <c r="I116" s="3">
        <v>2016</v>
      </c>
      <c r="J116" s="3">
        <v>2017</v>
      </c>
      <c r="K116" s="3">
        <v>2018</v>
      </c>
      <c r="L116" s="3">
        <v>2019</v>
      </c>
      <c r="M116" s="3">
        <v>2020</v>
      </c>
      <c r="P116" s="3">
        <v>2018</v>
      </c>
      <c r="Q116" s="3">
        <v>2019</v>
      </c>
      <c r="R116" s="30">
        <v>2020</v>
      </c>
    </row>
    <row r="117" spans="1:18" x14ac:dyDescent="0.25">
      <c r="A117" s="31" t="s">
        <v>9</v>
      </c>
      <c r="B117" s="5">
        <v>6.51</v>
      </c>
      <c r="C117" s="17">
        <f>B117-I118</f>
        <v>5.7363257575757576</v>
      </c>
      <c r="D117" s="17">
        <f>C117-J118</f>
        <v>5.3762878787878785</v>
      </c>
      <c r="E117" s="17">
        <f>D117-K118</f>
        <v>4.8770454545454545</v>
      </c>
      <c r="F117" s="17">
        <f>E117-L118</f>
        <v>3.7187121212121212</v>
      </c>
      <c r="G117" s="17">
        <f>F117-M118</f>
        <v>2.8338636363636365</v>
      </c>
      <c r="H117" s="15"/>
      <c r="I117" s="16">
        <f>17129/5280</f>
        <v>3.2441287878787879</v>
      </c>
      <c r="J117" s="17">
        <f>24100/5280</f>
        <v>4.5643939393939394</v>
      </c>
      <c r="K117" s="21">
        <f>12767/5280</f>
        <v>2.4179924242424242</v>
      </c>
      <c r="L117" s="21">
        <f>10107/5280</f>
        <v>1.9142045454545455</v>
      </c>
      <c r="M117" s="11">
        <f>8966/5280</f>
        <v>1.6981060606060605</v>
      </c>
      <c r="N117" s="5" t="s">
        <v>47</v>
      </c>
      <c r="P117" s="7">
        <f t="shared" ref="P117:R118" si="105">E117*$R$5*$I$4*$I$5/1000</f>
        <v>98.916130432695994</v>
      </c>
      <c r="Q117" s="7">
        <f t="shared" si="105"/>
        <v>75.422838817430886</v>
      </c>
      <c r="R117" s="39">
        <f t="shared" si="105"/>
        <v>57.476360984448789</v>
      </c>
    </row>
    <row r="118" spans="1:18" x14ac:dyDescent="0.25">
      <c r="A118" s="31" t="s">
        <v>10</v>
      </c>
      <c r="B118" s="5">
        <v>0</v>
      </c>
      <c r="C118" s="5"/>
      <c r="D118" s="5"/>
      <c r="E118" s="5"/>
      <c r="F118" s="5"/>
      <c r="G118" s="5"/>
      <c r="H118" s="15"/>
      <c r="I118" s="16">
        <f>(1875+2210)/5280</f>
        <v>0.77367424242424243</v>
      </c>
      <c r="J118" s="5">
        <f>1901/5280</f>
        <v>0.3600378787878788</v>
      </c>
      <c r="K118" s="21">
        <f>2636/5280</f>
        <v>0.49924242424242427</v>
      </c>
      <c r="L118" s="21">
        <f>6116/5280</f>
        <v>1.1583333333333334</v>
      </c>
      <c r="M118" s="11">
        <f>4672/5280</f>
        <v>0.88484848484848488</v>
      </c>
      <c r="N118" s="5" t="s">
        <v>48</v>
      </c>
      <c r="P118" s="7">
        <f t="shared" si="105"/>
        <v>0</v>
      </c>
      <c r="Q118" s="7">
        <f t="shared" si="105"/>
        <v>0</v>
      </c>
      <c r="R118" s="39">
        <f t="shared" si="105"/>
        <v>0</v>
      </c>
    </row>
    <row r="119" spans="1:18" x14ac:dyDescent="0.25">
      <c r="A119" s="31" t="s">
        <v>11</v>
      </c>
      <c r="B119" s="5">
        <v>0</v>
      </c>
      <c r="C119" s="5"/>
      <c r="D119" s="5"/>
      <c r="E119" s="5"/>
      <c r="F119" s="5"/>
      <c r="G119" s="5"/>
      <c r="H119" s="15"/>
      <c r="I119" s="5">
        <v>331</v>
      </c>
      <c r="J119" s="5">
        <v>379</v>
      </c>
      <c r="K119" s="5">
        <v>275</v>
      </c>
      <c r="L119" s="5">
        <v>260</v>
      </c>
      <c r="M119" s="12">
        <v>217</v>
      </c>
      <c r="N119" s="3" t="s">
        <v>18</v>
      </c>
      <c r="P119" s="7">
        <f t="shared" ref="P119:R120" si="106">E119*$R$6*$I$4*$I$5/1000</f>
        <v>0</v>
      </c>
      <c r="Q119" s="7">
        <f t="shared" si="106"/>
        <v>0</v>
      </c>
      <c r="R119" s="39">
        <f t="shared" si="106"/>
        <v>0</v>
      </c>
    </row>
    <row r="120" spans="1:18" x14ac:dyDescent="0.25">
      <c r="A120" s="31" t="s">
        <v>12</v>
      </c>
      <c r="B120" s="5">
        <v>123.33</v>
      </c>
      <c r="C120" s="5">
        <f>B120</f>
        <v>123.33</v>
      </c>
      <c r="D120" s="5">
        <f t="shared" ref="D120" si="107">C120</f>
        <v>123.33</v>
      </c>
      <c r="E120" s="5">
        <f t="shared" ref="E120" si="108">D120</f>
        <v>123.33</v>
      </c>
      <c r="F120" s="5">
        <f t="shared" ref="F120" si="109">E120</f>
        <v>123.33</v>
      </c>
      <c r="G120" s="5">
        <f t="shared" ref="G120" si="110">F120</f>
        <v>123.33</v>
      </c>
      <c r="H120" s="15"/>
      <c r="I120" s="5"/>
      <c r="J120" s="5"/>
      <c r="K120" s="5"/>
      <c r="L120" s="5"/>
      <c r="M120" s="5"/>
      <c r="P120" s="7">
        <f t="shared" si="106"/>
        <v>222.49395717383163</v>
      </c>
      <c r="Q120" s="7">
        <f t="shared" si="106"/>
        <v>222.49395717383163</v>
      </c>
      <c r="R120" s="39">
        <f t="shared" si="106"/>
        <v>222.49395717383163</v>
      </c>
    </row>
    <row r="121" spans="1:18" x14ac:dyDescent="0.25">
      <c r="A121" s="31" t="s">
        <v>13</v>
      </c>
      <c r="B121" s="5">
        <v>86.74</v>
      </c>
      <c r="C121" s="17">
        <f>B121+I117+I118+I122</f>
        <v>91.988863636363646</v>
      </c>
      <c r="D121" s="17">
        <f>C121+J117+J118+J122</f>
        <v>98.144356060606071</v>
      </c>
      <c r="E121" s="17">
        <f>D121+K117+K118+K122</f>
        <v>102.29265151515153</v>
      </c>
      <c r="F121" s="17">
        <f>E121+L117+L118+L122</f>
        <v>106.59625000000003</v>
      </c>
      <c r="G121" s="17">
        <f>F121+M117+M118+M122</f>
        <v>110.41026515151519</v>
      </c>
      <c r="H121" s="15"/>
      <c r="I121" s="5" t="s">
        <v>37</v>
      </c>
      <c r="J121" s="5"/>
      <c r="K121" s="5"/>
      <c r="L121" s="5"/>
      <c r="M121" s="5"/>
      <c r="P121" s="7">
        <f>E121*$R$7*$I$4*$I$5/1000</f>
        <v>22.052577020970791</v>
      </c>
      <c r="Q121" s="7">
        <f>F121*$R$7*$I$4*$I$5/1000</f>
        <v>22.980360548416034</v>
      </c>
      <c r="R121" s="39">
        <f>G121*$R$7*$I$4*$I$5/1000</f>
        <v>23.802598134812744</v>
      </c>
    </row>
    <row r="122" spans="1:18" x14ac:dyDescent="0.25">
      <c r="A122" s="31" t="s">
        <v>14</v>
      </c>
      <c r="B122" s="5">
        <v>56.73</v>
      </c>
      <c r="C122" s="17">
        <f>B122-I117</f>
        <v>53.485871212121211</v>
      </c>
      <c r="D122" s="17">
        <f>C122-J117</f>
        <v>48.921477272727273</v>
      </c>
      <c r="E122" s="17">
        <f>D122-K117</f>
        <v>46.503484848484845</v>
      </c>
      <c r="F122" s="17">
        <f>E122-L117</f>
        <v>44.5892803030303</v>
      </c>
      <c r="G122" s="17">
        <f>F122-M117</f>
        <v>42.891174242424242</v>
      </c>
      <c r="H122" s="15"/>
      <c r="I122" s="17">
        <f>6500/5280</f>
        <v>1.231060606060606</v>
      </c>
      <c r="J122" s="17">
        <f t="shared" ref="J122:M122" si="111">6500/5280</f>
        <v>1.231060606060606</v>
      </c>
      <c r="K122" s="17">
        <f t="shared" si="111"/>
        <v>1.231060606060606</v>
      </c>
      <c r="L122" s="17">
        <f t="shared" si="111"/>
        <v>1.231060606060606</v>
      </c>
      <c r="M122" s="17">
        <f t="shared" si="111"/>
        <v>1.231060606060606</v>
      </c>
      <c r="N122" s="3" t="s">
        <v>19</v>
      </c>
      <c r="P122" s="7">
        <f t="shared" ref="P122:R125" si="112">E122*$R$4*$I$4*$I$5/1000</f>
        <v>1332.9398655204641</v>
      </c>
      <c r="Q122" s="7">
        <f t="shared" si="112"/>
        <v>1278.0725892784776</v>
      </c>
      <c r="R122" s="39">
        <f t="shared" si="112"/>
        <v>1229.3993926043261</v>
      </c>
    </row>
    <row r="123" spans="1:18" x14ac:dyDescent="0.25">
      <c r="A123" s="31" t="s">
        <v>15</v>
      </c>
      <c r="B123" s="5">
        <v>1.8</v>
      </c>
      <c r="C123" s="5">
        <f>B123</f>
        <v>1.8</v>
      </c>
      <c r="D123" s="5">
        <f t="shared" ref="D123:G123" si="113">C123</f>
        <v>1.8</v>
      </c>
      <c r="E123" s="5">
        <f t="shared" si="113"/>
        <v>1.8</v>
      </c>
      <c r="F123" s="5">
        <f t="shared" si="113"/>
        <v>1.8</v>
      </c>
      <c r="G123" s="5">
        <f t="shared" si="113"/>
        <v>1.8</v>
      </c>
      <c r="H123" s="5"/>
      <c r="I123" s="5">
        <v>120</v>
      </c>
      <c r="J123" s="5">
        <v>120</v>
      </c>
      <c r="K123" s="5">
        <v>120</v>
      </c>
      <c r="L123" s="5">
        <v>120</v>
      </c>
      <c r="M123" s="5">
        <v>120</v>
      </c>
      <c r="N123" s="3" t="s">
        <v>18</v>
      </c>
      <c r="P123" s="7">
        <f t="shared" si="112"/>
        <v>51.593805620247139</v>
      </c>
      <c r="Q123" s="7">
        <f t="shared" si="112"/>
        <v>51.593805620247139</v>
      </c>
      <c r="R123" s="39">
        <f t="shared" si="112"/>
        <v>51.593805620247139</v>
      </c>
    </row>
    <row r="124" spans="1:18" x14ac:dyDescent="0.25">
      <c r="A124" s="31" t="s">
        <v>16</v>
      </c>
      <c r="B124" s="5">
        <v>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P124" s="7">
        <f t="shared" si="112"/>
        <v>0</v>
      </c>
      <c r="Q124" s="7">
        <f t="shared" si="112"/>
        <v>0</v>
      </c>
      <c r="R124" s="39">
        <f t="shared" si="112"/>
        <v>0</v>
      </c>
    </row>
    <row r="125" spans="1:18" x14ac:dyDescent="0.25">
      <c r="A125" s="31" t="s">
        <v>17</v>
      </c>
      <c r="B125" s="5">
        <v>0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P125" s="7">
        <f t="shared" si="112"/>
        <v>0</v>
      </c>
      <c r="Q125" s="7">
        <f t="shared" si="112"/>
        <v>0</v>
      </c>
      <c r="R125" s="39">
        <f t="shared" si="112"/>
        <v>0</v>
      </c>
    </row>
    <row r="126" spans="1:18" x14ac:dyDescent="0.25">
      <c r="A126" s="31" t="s">
        <v>30</v>
      </c>
      <c r="B126" s="5">
        <v>275.11</v>
      </c>
      <c r="C126" s="17">
        <f>SUM(C117:C125)</f>
        <v>276.34106060606064</v>
      </c>
      <c r="D126" s="17">
        <f t="shared" ref="D126:G126" si="114">SUM(D117:D125)</f>
        <v>277.57212121212126</v>
      </c>
      <c r="E126" s="17">
        <f t="shared" si="114"/>
        <v>278.80318181818183</v>
      </c>
      <c r="F126" s="17">
        <f t="shared" si="114"/>
        <v>280.03424242424245</v>
      </c>
      <c r="G126" s="17">
        <f t="shared" si="114"/>
        <v>281.26530303030307</v>
      </c>
      <c r="H126" s="5"/>
      <c r="I126" s="5"/>
      <c r="J126" s="5"/>
      <c r="K126" s="5"/>
      <c r="L126" s="5"/>
      <c r="M126" s="5"/>
      <c r="P126" s="8">
        <f>SUM(P117:P125)</f>
        <v>1727.9963357682095</v>
      </c>
      <c r="Q126" s="8">
        <f t="shared" ref="Q126:R126" si="115">SUM(Q117:Q125)</f>
        <v>1650.5635514384035</v>
      </c>
      <c r="R126" s="40">
        <f t="shared" si="115"/>
        <v>1584.7661145176664</v>
      </c>
    </row>
    <row r="127" spans="1:18" x14ac:dyDescent="0.25">
      <c r="A127" s="29" t="s">
        <v>29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P127" s="8"/>
      <c r="Q127" s="8"/>
      <c r="R127" s="40"/>
    </row>
    <row r="128" spans="1:18" x14ac:dyDescent="0.25">
      <c r="A128" s="31" t="s">
        <v>9</v>
      </c>
      <c r="B128" s="5">
        <v>2308</v>
      </c>
      <c r="C128" s="8">
        <f>B128-I119*B128/(B128+B129)</f>
        <v>2031.2072463768116</v>
      </c>
      <c r="D128" s="8">
        <f>C128-J119*C128/(C128+C129)</f>
        <v>1714.2753623188405</v>
      </c>
      <c r="E128" s="8">
        <f>D128-K119*D128/(D128+D129)</f>
        <v>1484.3115942028985</v>
      </c>
      <c r="F128" s="8">
        <f>E128-L119*E128/(E128+E129)</f>
        <v>1266.891304347826</v>
      </c>
      <c r="G128" s="8">
        <f>F128-M119*F128/(F128+F129)</f>
        <v>1085.4289855072464</v>
      </c>
      <c r="H128" s="5"/>
      <c r="I128" s="5"/>
      <c r="J128" s="5"/>
      <c r="K128" s="5"/>
      <c r="L128" s="5"/>
      <c r="M128" s="5"/>
      <c r="P128" s="7">
        <f t="shared" ref="P128:R129" si="116">E128*$R$10*$I$4*$I$5/1000</f>
        <v>192.35102812517897</v>
      </c>
      <c r="Q128" s="7">
        <f t="shared" si="116"/>
        <v>164.17566625895554</v>
      </c>
      <c r="R128" s="39">
        <f t="shared" si="116"/>
        <v>140.6600757782999</v>
      </c>
    </row>
    <row r="129" spans="1:18" x14ac:dyDescent="0.25">
      <c r="A129" s="31" t="s">
        <v>10</v>
      </c>
      <c r="B129" s="5">
        <v>452</v>
      </c>
      <c r="C129" s="8">
        <f>B129-I119*B129/(B128+B129)</f>
        <v>397.79275362318839</v>
      </c>
      <c r="D129" s="8">
        <f>C129-J119*C129/(C128+C129)</f>
        <v>335.72463768115938</v>
      </c>
      <c r="E129" s="8">
        <f>D129-K119*D129/(D128+D129)</f>
        <v>290.68840579710138</v>
      </c>
      <c r="F129" s="8">
        <f>E129-L119*E129/(E128+E129)</f>
        <v>248.10869565217385</v>
      </c>
      <c r="G129" s="8">
        <f>F129-M119*F129/(F128+F129)</f>
        <v>212.57101449275356</v>
      </c>
      <c r="H129" s="5"/>
      <c r="I129" s="5"/>
      <c r="J129" s="5"/>
      <c r="K129" s="5"/>
      <c r="L129" s="5"/>
      <c r="M129" s="5"/>
      <c r="P129" s="7">
        <f t="shared" si="116"/>
        <v>37.670132024515112</v>
      </c>
      <c r="Q129" s="7">
        <f t="shared" si="116"/>
        <v>32.152253530783319</v>
      </c>
      <c r="R129" s="39">
        <f t="shared" si="116"/>
        <v>27.546947249476403</v>
      </c>
    </row>
    <row r="130" spans="1:18" x14ac:dyDescent="0.25">
      <c r="A130" s="31" t="s">
        <v>11</v>
      </c>
      <c r="B130" s="5">
        <v>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P130" s="7">
        <f t="shared" ref="P130:R131" si="117">E130*$R$11*$I$4*$I$5/1000</f>
        <v>0</v>
      </c>
      <c r="Q130" s="7">
        <f t="shared" si="117"/>
        <v>0</v>
      </c>
      <c r="R130" s="39">
        <f t="shared" si="117"/>
        <v>0</v>
      </c>
    </row>
    <row r="131" spans="1:18" x14ac:dyDescent="0.25">
      <c r="A131" s="31" t="s">
        <v>12</v>
      </c>
      <c r="B131" s="5">
        <v>1974</v>
      </c>
      <c r="C131" s="5">
        <f>B131</f>
        <v>1974</v>
      </c>
      <c r="D131" s="5">
        <f t="shared" ref="D131" si="118">C131</f>
        <v>1974</v>
      </c>
      <c r="E131" s="5">
        <f t="shared" ref="E131" si="119">D131</f>
        <v>1974</v>
      </c>
      <c r="F131" s="5">
        <f t="shared" ref="F131" si="120">E131</f>
        <v>1974</v>
      </c>
      <c r="G131" s="5">
        <f t="shared" ref="G131" si="121">F131</f>
        <v>1974</v>
      </c>
      <c r="H131" s="5"/>
      <c r="I131" s="5"/>
      <c r="J131" s="5"/>
      <c r="K131" s="5"/>
      <c r="L131" s="5"/>
      <c r="M131" s="5"/>
      <c r="P131" s="7">
        <f t="shared" si="117"/>
        <v>110.50754507518835</v>
      </c>
      <c r="Q131" s="7">
        <f t="shared" si="117"/>
        <v>110.50754507518835</v>
      </c>
      <c r="R131" s="39">
        <f t="shared" si="117"/>
        <v>110.50754507518835</v>
      </c>
    </row>
    <row r="132" spans="1:18" x14ac:dyDescent="0.25">
      <c r="A132" s="31" t="s">
        <v>13</v>
      </c>
      <c r="B132" s="5">
        <v>6219</v>
      </c>
      <c r="C132" s="5">
        <f>B132+I119+I123</f>
        <v>6670</v>
      </c>
      <c r="D132" s="5">
        <f>C132+J119+J123</f>
        <v>7169</v>
      </c>
      <c r="E132" s="5">
        <f>D132+K119+K123</f>
        <v>7564</v>
      </c>
      <c r="F132" s="5">
        <f>E132+L119+L123</f>
        <v>7944</v>
      </c>
      <c r="G132" s="8">
        <f>F132+M119+M123</f>
        <v>8281</v>
      </c>
      <c r="H132" s="5"/>
      <c r="I132" s="5"/>
      <c r="J132" s="5"/>
      <c r="K132" s="5"/>
      <c r="L132" s="5"/>
      <c r="M132" s="5"/>
      <c r="P132" s="7">
        <f>E132*$R$12*$I$4*$I$5/1000</f>
        <v>38.845261133015221</v>
      </c>
      <c r="Q132" s="7">
        <f>F132*$R$12*$I$4*$I$5/1000</f>
        <v>40.796768170369234</v>
      </c>
      <c r="R132" s="39">
        <f>G132*$R$12*$I$4*$I$5/1000</f>
        <v>42.527446779812138</v>
      </c>
    </row>
    <row r="133" spans="1:18" x14ac:dyDescent="0.25">
      <c r="A133" s="31" t="s">
        <v>14</v>
      </c>
      <c r="B133" s="5">
        <v>0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P133" s="7">
        <f t="shared" ref="P133:R134" si="122">E133*$R$10*$I$4*$I$5/1000</f>
        <v>0</v>
      </c>
      <c r="Q133" s="7">
        <f t="shared" si="122"/>
        <v>0</v>
      </c>
      <c r="R133" s="39">
        <f t="shared" si="122"/>
        <v>0</v>
      </c>
    </row>
    <row r="134" spans="1:18" x14ac:dyDescent="0.25">
      <c r="A134" s="31" t="s">
        <v>15</v>
      </c>
      <c r="B134" s="5">
        <v>0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P134" s="7">
        <f t="shared" si="122"/>
        <v>0</v>
      </c>
      <c r="Q134" s="7">
        <f t="shared" si="122"/>
        <v>0</v>
      </c>
      <c r="R134" s="39">
        <f t="shared" si="122"/>
        <v>0</v>
      </c>
    </row>
    <row r="135" spans="1:18" x14ac:dyDescent="0.25">
      <c r="A135" s="31" t="s">
        <v>16</v>
      </c>
      <c r="B135" s="5">
        <v>0</v>
      </c>
      <c r="C135" s="12"/>
      <c r="D135" s="8"/>
      <c r="E135" s="8"/>
      <c r="F135" s="8"/>
      <c r="G135" s="8"/>
      <c r="H135" s="5"/>
      <c r="I135" s="5"/>
      <c r="J135" s="5"/>
      <c r="K135" s="5"/>
      <c r="L135" s="5"/>
      <c r="M135" s="5"/>
      <c r="P135" s="7">
        <f>E135*$R$13*$I$4*$I$5/1000</f>
        <v>0</v>
      </c>
      <c r="Q135" s="7">
        <f>F135*$R$13*$I$4*$I$5/1000</f>
        <v>0</v>
      </c>
      <c r="R135" s="39">
        <f>G135*$R$13*$I$4*$I$5/1000</f>
        <v>0</v>
      </c>
    </row>
    <row r="136" spans="1:18" x14ac:dyDescent="0.25">
      <c r="A136" s="31" t="s">
        <v>17</v>
      </c>
      <c r="B136" s="5">
        <v>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P136" s="7">
        <f>E136*$R$10*$I$4*$I$5/1000</f>
        <v>0</v>
      </c>
      <c r="Q136" s="7">
        <f>F136*$R$10*$I$4*$I$5/1000</f>
        <v>0</v>
      </c>
      <c r="R136" s="39">
        <f>G136*$R$10*$I$4*$I$5/1000</f>
        <v>0</v>
      </c>
    </row>
    <row r="137" spans="1:18" x14ac:dyDescent="0.25">
      <c r="A137" s="31" t="s">
        <v>31</v>
      </c>
      <c r="B137" s="5">
        <v>10953</v>
      </c>
      <c r="C137" s="5">
        <f>SUM(C128:C136)</f>
        <v>11073</v>
      </c>
      <c r="D137" s="5">
        <f t="shared" ref="D137:G137" si="123">SUM(D128:D136)</f>
        <v>11193</v>
      </c>
      <c r="E137" s="5">
        <f t="shared" si="123"/>
        <v>11313</v>
      </c>
      <c r="F137" s="5">
        <f t="shared" si="123"/>
        <v>11433</v>
      </c>
      <c r="G137" s="5">
        <f t="shared" si="123"/>
        <v>11553</v>
      </c>
      <c r="H137" s="5"/>
      <c r="I137" s="5"/>
      <c r="J137" s="5"/>
      <c r="K137" s="5"/>
      <c r="L137" s="5"/>
      <c r="M137" s="5"/>
      <c r="P137" s="7">
        <f>SUM(P128:P136)</f>
        <v>379.37396635789764</v>
      </c>
      <c r="Q137" s="7">
        <f t="shared" ref="Q137:R137" si="124">SUM(Q128:Q136)</f>
        <v>347.63223303529639</v>
      </c>
      <c r="R137" s="39">
        <f t="shared" si="124"/>
        <v>321.2420148827768</v>
      </c>
    </row>
    <row r="138" spans="1:18" x14ac:dyDescent="0.25">
      <c r="A138" s="32" t="s">
        <v>8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>
        <f>P126+P137</f>
        <v>2107.3703021261072</v>
      </c>
      <c r="Q138" s="35">
        <f t="shared" ref="Q138:R138" si="125">Q126+Q137</f>
        <v>1998.1957844736999</v>
      </c>
      <c r="R138" s="41">
        <f t="shared" si="125"/>
        <v>1906.0081294004433</v>
      </c>
    </row>
    <row r="140" spans="1:18" x14ac:dyDescent="0.25">
      <c r="A140" s="25" t="s">
        <v>45</v>
      </c>
      <c r="B140" s="26" t="s">
        <v>33</v>
      </c>
      <c r="C140" s="47" t="s">
        <v>34</v>
      </c>
      <c r="D140" s="47"/>
      <c r="E140" s="47"/>
      <c r="F140" s="47"/>
      <c r="G140" s="47"/>
      <c r="H140" s="27"/>
      <c r="I140" s="38" t="s">
        <v>51</v>
      </c>
      <c r="J140" s="27"/>
      <c r="K140" s="27"/>
      <c r="L140" s="27"/>
      <c r="M140" s="27"/>
      <c r="N140" s="27"/>
      <c r="O140" s="27"/>
      <c r="P140" s="48" t="s">
        <v>32</v>
      </c>
      <c r="Q140" s="48"/>
      <c r="R140" s="49"/>
    </row>
    <row r="141" spans="1:18" x14ac:dyDescent="0.25">
      <c r="A141" s="29" t="s">
        <v>28</v>
      </c>
      <c r="B141" s="5">
        <v>2015</v>
      </c>
      <c r="C141" s="3">
        <v>2016</v>
      </c>
      <c r="D141" s="3">
        <v>2017</v>
      </c>
      <c r="E141" s="3">
        <v>2018</v>
      </c>
      <c r="F141" s="3">
        <v>2019</v>
      </c>
      <c r="G141" s="3">
        <v>2020</v>
      </c>
      <c r="I141" s="3">
        <v>2016</v>
      </c>
      <c r="J141" s="3">
        <v>2017</v>
      </c>
      <c r="K141" s="3">
        <v>2018</v>
      </c>
      <c r="L141" s="3">
        <v>2019</v>
      </c>
      <c r="M141" s="3">
        <v>2020</v>
      </c>
      <c r="P141" s="3">
        <v>2018</v>
      </c>
      <c r="Q141" s="3">
        <v>2019</v>
      </c>
      <c r="R141" s="30">
        <v>2020</v>
      </c>
    </row>
    <row r="142" spans="1:18" x14ac:dyDescent="0.25">
      <c r="A142" s="31" t="s">
        <v>9</v>
      </c>
      <c r="B142" s="5">
        <v>38.133000000000003</v>
      </c>
      <c r="C142" s="14">
        <f>B142-I143*B142/(B142+B143)</f>
        <v>36.789672211142751</v>
      </c>
      <c r="D142" s="14">
        <f>C142-J143*C142/(C142+C143)</f>
        <v>34.05296820205379</v>
      </c>
      <c r="E142" s="14">
        <f>D142-K143*D142/(D142+D143)</f>
        <v>31.189516153137248</v>
      </c>
      <c r="F142" s="14">
        <f>E142-L143*E142/(E142+E143)</f>
        <v>28.326064104220706</v>
      </c>
      <c r="G142" s="14">
        <f>F142-M143*F142/(F142+F143)</f>
        <v>25.462612055304163</v>
      </c>
      <c r="H142" s="15"/>
      <c r="I142" s="14">
        <f>(31439+3940)/5280</f>
        <v>6.7005681818181815</v>
      </c>
      <c r="J142" s="5">
        <f>40267/5280</f>
        <v>7.6263257575757573</v>
      </c>
      <c r="K142" s="5">
        <v>7</v>
      </c>
      <c r="L142" s="5">
        <v>7</v>
      </c>
      <c r="M142" s="11">
        <v>7</v>
      </c>
      <c r="N142" s="5" t="s">
        <v>47</v>
      </c>
      <c r="P142" s="7">
        <f t="shared" ref="P142:R143" si="126">E142*$R$5*$I$4*$I$5/1000</f>
        <v>632.58509207885595</v>
      </c>
      <c r="Q142" s="7">
        <f t="shared" si="126"/>
        <v>574.50861955092114</v>
      </c>
      <c r="R142" s="39">
        <f t="shared" si="126"/>
        <v>516.4321470229861</v>
      </c>
    </row>
    <row r="143" spans="1:18" x14ac:dyDescent="0.25">
      <c r="A143" s="31" t="s">
        <v>10</v>
      </c>
      <c r="B143" s="5">
        <v>55.087000000000003</v>
      </c>
      <c r="C143" s="14">
        <f>B143-I143*B143/(B142+B143)</f>
        <v>53.146426273705735</v>
      </c>
      <c r="D143" s="14">
        <f>C143-J143*C143/(C142+C143)</f>
        <v>49.192978767643176</v>
      </c>
      <c r="E143" s="14">
        <f>D143-K143*D143/(D142+D143)</f>
        <v>45.056430816559718</v>
      </c>
      <c r="F143" s="14">
        <f>E143-L143*E143/(E142+E143)</f>
        <v>40.919882865476261</v>
      </c>
      <c r="G143" s="14">
        <f>F143-M143*F143/(F142+F143)</f>
        <v>36.783334914392803</v>
      </c>
      <c r="H143" s="15"/>
      <c r="I143" s="14">
        <f>(6441+6712+4073+113)/5280</f>
        <v>3.283901515151515</v>
      </c>
      <c r="J143" s="14">
        <f>35324/5280</f>
        <v>6.6901515151515154</v>
      </c>
      <c r="K143" s="5">
        <v>7</v>
      </c>
      <c r="L143" s="5">
        <v>7</v>
      </c>
      <c r="M143" s="5">
        <v>7</v>
      </c>
      <c r="N143" s="5" t="s">
        <v>48</v>
      </c>
      <c r="P143" s="7">
        <f t="shared" si="126"/>
        <v>913.83355538111198</v>
      </c>
      <c r="Q143" s="7">
        <f t="shared" si="126"/>
        <v>829.93617929881179</v>
      </c>
      <c r="R143" s="39">
        <f t="shared" si="126"/>
        <v>746.03880321651172</v>
      </c>
    </row>
    <row r="144" spans="1:18" x14ac:dyDescent="0.25">
      <c r="A144" s="31" t="s">
        <v>11</v>
      </c>
      <c r="B144" s="5">
        <v>0</v>
      </c>
      <c r="C144" s="14"/>
      <c r="D144" s="14"/>
      <c r="E144" s="14"/>
      <c r="F144" s="14"/>
      <c r="G144" s="14"/>
      <c r="H144" s="15"/>
      <c r="I144" s="5">
        <v>903</v>
      </c>
      <c r="J144" s="5">
        <v>799</v>
      </c>
      <c r="K144" s="5">
        <v>799</v>
      </c>
      <c r="L144" s="5">
        <v>799</v>
      </c>
      <c r="M144" s="5">
        <v>799</v>
      </c>
      <c r="N144" s="3" t="s">
        <v>18</v>
      </c>
      <c r="P144" s="7">
        <f t="shared" ref="P144:R145" si="127">E144*$R$6*$I$4*$I$5/1000</f>
        <v>0</v>
      </c>
      <c r="Q144" s="7">
        <f t="shared" si="127"/>
        <v>0</v>
      </c>
      <c r="R144" s="39">
        <f t="shared" si="127"/>
        <v>0</v>
      </c>
    </row>
    <row r="145" spans="1:18" x14ac:dyDescent="0.25">
      <c r="A145" s="31" t="s">
        <v>12</v>
      </c>
      <c r="B145" s="5">
        <v>162.999</v>
      </c>
      <c r="C145" s="14">
        <f>B145</f>
        <v>162.999</v>
      </c>
      <c r="D145" s="14">
        <f t="shared" ref="D145" si="128">C145</f>
        <v>162.999</v>
      </c>
      <c r="E145" s="14">
        <f t="shared" ref="E145" si="129">D145</f>
        <v>162.999</v>
      </c>
      <c r="F145" s="14">
        <f t="shared" ref="F145" si="130">E145</f>
        <v>162.999</v>
      </c>
      <c r="G145" s="14">
        <f t="shared" ref="G145" si="131">F145</f>
        <v>162.999</v>
      </c>
      <c r="H145" s="15"/>
      <c r="I145" s="5"/>
      <c r="J145" s="5"/>
      <c r="K145" s="5"/>
      <c r="L145" s="5"/>
      <c r="M145" s="5"/>
      <c r="P145" s="7">
        <f t="shared" si="127"/>
        <v>294.05896801570896</v>
      </c>
      <c r="Q145" s="7">
        <f t="shared" si="127"/>
        <v>294.05896801570896</v>
      </c>
      <c r="R145" s="39">
        <f t="shared" si="127"/>
        <v>294.05896801570896</v>
      </c>
    </row>
    <row r="146" spans="1:18" x14ac:dyDescent="0.25">
      <c r="A146" s="31" t="s">
        <v>13</v>
      </c>
      <c r="B146" s="5">
        <v>234.643</v>
      </c>
      <c r="C146" s="14">
        <f>B146+I142+I143+I147</f>
        <v>248.69943939393937</v>
      </c>
      <c r="D146" s="14">
        <f>C146+J142+J143+J147</f>
        <v>267.36818939393942</v>
      </c>
      <c r="E146" s="14">
        <f>D146+K142+K143+K147</f>
        <v>285.91364393939398</v>
      </c>
      <c r="F146" s="14">
        <f>E146+L142+L143+L147</f>
        <v>304.72046212121217</v>
      </c>
      <c r="G146" s="14">
        <f>F146+M142+M143+M147</f>
        <v>323.83409848484854</v>
      </c>
      <c r="H146" s="15"/>
      <c r="I146" s="5" t="s">
        <v>37</v>
      </c>
      <c r="J146" s="5"/>
      <c r="K146" s="5"/>
      <c r="L146" s="5"/>
      <c r="M146" s="5"/>
      <c r="P146" s="7">
        <f>E146*$R$7*$I$4*$I$5/1000</f>
        <v>61.638177923132552</v>
      </c>
      <c r="Q146" s="7">
        <f>F146*$R$7*$I$4*$I$5/1000</f>
        <v>65.692611944842383</v>
      </c>
      <c r="R146" s="39">
        <f>G146*$R$7*$I$4*$I$5/1000</f>
        <v>69.813190811619407</v>
      </c>
    </row>
    <row r="147" spans="1:18" x14ac:dyDescent="0.25">
      <c r="A147" s="31" t="s">
        <v>14</v>
      </c>
      <c r="B147" s="5">
        <v>122.34399999999999</v>
      </c>
      <c r="C147" s="14">
        <f>B147-I142</f>
        <v>115.64343181818181</v>
      </c>
      <c r="D147" s="14">
        <f>C147-J142</f>
        <v>108.01710606060605</v>
      </c>
      <c r="E147" s="14">
        <f>D147-K142</f>
        <v>101.01710606060605</v>
      </c>
      <c r="F147" s="14">
        <f>E147-L142</f>
        <v>94.017106060606054</v>
      </c>
      <c r="G147" s="14">
        <f>F147-M142</f>
        <v>87.017106060606054</v>
      </c>
      <c r="H147" s="15"/>
      <c r="I147" s="14">
        <f>21500/5280</f>
        <v>4.0719696969696972</v>
      </c>
      <c r="J147" s="14">
        <f>22980/5280</f>
        <v>4.3522727272727275</v>
      </c>
      <c r="K147" s="14">
        <f>24000/5280</f>
        <v>4.5454545454545459</v>
      </c>
      <c r="L147" s="14">
        <f>25380/5280</f>
        <v>4.8068181818181817</v>
      </c>
      <c r="M147" s="14">
        <f>27000/5280</f>
        <v>5.1136363636363633</v>
      </c>
      <c r="N147" s="3" t="s">
        <v>19</v>
      </c>
      <c r="P147" s="7">
        <f t="shared" ref="P147:R150" si="132">E147*$R$4*$I$4*$I$5/1000</f>
        <v>2895.4760746726661</v>
      </c>
      <c r="Q147" s="7">
        <f t="shared" si="132"/>
        <v>2694.8334972605935</v>
      </c>
      <c r="R147" s="39">
        <f t="shared" si="132"/>
        <v>2494.1909198485214</v>
      </c>
    </row>
    <row r="148" spans="1:18" x14ac:dyDescent="0.25">
      <c r="A148" s="31" t="s">
        <v>15</v>
      </c>
      <c r="B148" s="5">
        <v>0</v>
      </c>
      <c r="C148" s="14"/>
      <c r="D148" s="14"/>
      <c r="E148" s="14"/>
      <c r="F148" s="14"/>
      <c r="G148" s="14"/>
      <c r="H148" s="5"/>
      <c r="I148" s="5">
        <v>367</v>
      </c>
      <c r="J148" s="5">
        <v>383</v>
      </c>
      <c r="K148" s="5">
        <v>400</v>
      </c>
      <c r="L148" s="5">
        <v>423</v>
      </c>
      <c r="M148" s="5">
        <v>450</v>
      </c>
      <c r="N148" s="3" t="s">
        <v>18</v>
      </c>
      <c r="P148" s="7">
        <f t="shared" si="132"/>
        <v>0</v>
      </c>
      <c r="Q148" s="7">
        <f t="shared" si="132"/>
        <v>0</v>
      </c>
      <c r="R148" s="39">
        <f t="shared" si="132"/>
        <v>0</v>
      </c>
    </row>
    <row r="149" spans="1:18" x14ac:dyDescent="0.25">
      <c r="A149" s="31" t="s">
        <v>16</v>
      </c>
      <c r="B149" s="5">
        <v>0</v>
      </c>
      <c r="C149" s="14"/>
      <c r="D149" s="14"/>
      <c r="E149" s="14"/>
      <c r="F149" s="14"/>
      <c r="G149" s="14"/>
      <c r="H149" s="5"/>
      <c r="I149" s="5"/>
      <c r="J149" s="5"/>
      <c r="K149" s="5"/>
      <c r="L149" s="5"/>
      <c r="M149" s="5"/>
      <c r="P149" s="7">
        <f t="shared" si="132"/>
        <v>0</v>
      </c>
      <c r="Q149" s="7">
        <f t="shared" si="132"/>
        <v>0</v>
      </c>
      <c r="R149" s="39">
        <f t="shared" si="132"/>
        <v>0</v>
      </c>
    </row>
    <row r="150" spans="1:18" x14ac:dyDescent="0.25">
      <c r="A150" s="31" t="s">
        <v>17</v>
      </c>
      <c r="B150" s="5">
        <v>0</v>
      </c>
      <c r="C150" s="14"/>
      <c r="D150" s="14"/>
      <c r="E150" s="14"/>
      <c r="F150" s="14"/>
      <c r="G150" s="14"/>
      <c r="H150" s="5"/>
      <c r="I150" s="5"/>
      <c r="J150" s="5"/>
      <c r="K150" s="5"/>
      <c r="L150" s="5"/>
      <c r="M150" s="5"/>
      <c r="P150" s="7">
        <f t="shared" si="132"/>
        <v>0</v>
      </c>
      <c r="Q150" s="7">
        <f t="shared" si="132"/>
        <v>0</v>
      </c>
      <c r="R150" s="39">
        <f t="shared" si="132"/>
        <v>0</v>
      </c>
    </row>
    <row r="151" spans="1:18" x14ac:dyDescent="0.25">
      <c r="A151" s="31" t="s">
        <v>30</v>
      </c>
      <c r="B151" s="5">
        <v>613.20600000000002</v>
      </c>
      <c r="C151" s="14">
        <f>SUM(C142:C150)</f>
        <v>617.27796969696965</v>
      </c>
      <c r="D151" s="14">
        <f t="shared" ref="D151:G151" si="133">SUM(D142:D150)</f>
        <v>621.6302424242424</v>
      </c>
      <c r="E151" s="14">
        <f t="shared" si="133"/>
        <v>626.1756969696969</v>
      </c>
      <c r="F151" s="14">
        <f t="shared" si="133"/>
        <v>630.98251515151514</v>
      </c>
      <c r="G151" s="14">
        <f t="shared" si="133"/>
        <v>636.09615151515152</v>
      </c>
      <c r="H151" s="5"/>
      <c r="I151" s="5"/>
      <c r="J151" s="5"/>
      <c r="K151" s="5"/>
      <c r="L151" s="5"/>
      <c r="M151" s="5"/>
      <c r="P151" s="8">
        <f>SUM(P142:P150)</f>
        <v>4797.5918680714758</v>
      </c>
      <c r="Q151" s="8">
        <f t="shared" ref="Q151:R151" si="134">SUM(Q142:Q150)</f>
        <v>4459.0298760708774</v>
      </c>
      <c r="R151" s="40">
        <f t="shared" si="134"/>
        <v>4120.5340289153473</v>
      </c>
    </row>
    <row r="152" spans="1:18" x14ac:dyDescent="0.25">
      <c r="A152" s="29" t="s">
        <v>29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P152" s="8"/>
      <c r="Q152" s="8"/>
      <c r="R152" s="40"/>
    </row>
    <row r="153" spans="1:18" x14ac:dyDescent="0.25">
      <c r="A153" s="31" t="s">
        <v>9</v>
      </c>
      <c r="B153" s="5">
        <v>7497</v>
      </c>
      <c r="C153" s="8">
        <f>B153-I144*B153/(B153+B154+B161)</f>
        <v>6958.3041298639291</v>
      </c>
      <c r="D153" s="8">
        <f>C153-J144*C153/(C153+C154+C161)</f>
        <v>6481.6507519694433</v>
      </c>
      <c r="E153" s="8">
        <f>D153-K144*D153/(D153+D154+D161)</f>
        <v>6004.9973740749574</v>
      </c>
      <c r="F153" s="8">
        <f>E153-L144*E153/(E153+E154+E161)</f>
        <v>5528.3439961804715</v>
      </c>
      <c r="G153" s="8">
        <f>F153-M144*F153/(F153+F154+F161)</f>
        <v>5051.6906182859857</v>
      </c>
      <c r="H153" s="5"/>
      <c r="I153" s="5"/>
      <c r="J153" s="5"/>
      <c r="K153" s="5"/>
      <c r="L153" s="5"/>
      <c r="M153" s="5"/>
      <c r="P153" s="7">
        <f t="shared" ref="P153:R154" si="135">E153*$R$10*$I$4*$I$5/1000</f>
        <v>778.18392263695114</v>
      </c>
      <c r="Q153" s="7">
        <f t="shared" si="135"/>
        <v>716.41470406086091</v>
      </c>
      <c r="R153" s="39">
        <f t="shared" si="135"/>
        <v>654.64548548477069</v>
      </c>
    </row>
    <row r="154" spans="1:18" x14ac:dyDescent="0.25">
      <c r="A154" s="31" t="s">
        <v>10</v>
      </c>
      <c r="B154" s="5">
        <v>5063</v>
      </c>
      <c r="C154" s="8">
        <f>B154-I144*B154/(B153+B154+B161)</f>
        <v>4699.1988541417995</v>
      </c>
      <c r="D154" s="8">
        <f>C154-J144*C154/(C153+C154+C161)</f>
        <v>4377.2972865441234</v>
      </c>
      <c r="E154" s="8">
        <f>D154-K144*D154/(D153+D154+D161)</f>
        <v>4055.3957189464468</v>
      </c>
      <c r="F154" s="8">
        <f>E154-L144*E154/(E153+E154+E161)</f>
        <v>3733.4941513487702</v>
      </c>
      <c r="G154" s="8">
        <f>F154-M144*F154/(F153+F154+F161)</f>
        <v>3411.5925837510936</v>
      </c>
      <c r="H154" s="5"/>
      <c r="I154" s="5"/>
      <c r="J154" s="5"/>
      <c r="K154" s="5"/>
      <c r="L154" s="5"/>
      <c r="M154" s="5"/>
      <c r="P154" s="7">
        <f t="shared" si="135"/>
        <v>525.53624120459972</v>
      </c>
      <c r="Q154" s="7">
        <f t="shared" si="135"/>
        <v>483.82121470723473</v>
      </c>
      <c r="R154" s="39">
        <f t="shared" si="135"/>
        <v>442.10618820986986</v>
      </c>
    </row>
    <row r="155" spans="1:18" x14ac:dyDescent="0.25">
      <c r="A155" s="31" t="s">
        <v>11</v>
      </c>
      <c r="B155" s="5">
        <v>16</v>
      </c>
      <c r="C155" s="5">
        <f>B155</f>
        <v>16</v>
      </c>
      <c r="D155" s="5">
        <f t="shared" ref="D155" si="136">C155</f>
        <v>16</v>
      </c>
      <c r="E155" s="5">
        <f t="shared" ref="E155" si="137">D155</f>
        <v>16</v>
      </c>
      <c r="F155" s="5">
        <f t="shared" ref="F155" si="138">E155</f>
        <v>16</v>
      </c>
      <c r="G155" s="5">
        <f t="shared" ref="G155" si="139">F155</f>
        <v>16</v>
      </c>
      <c r="H155" s="5"/>
      <c r="I155" s="5"/>
      <c r="J155" s="5"/>
      <c r="K155" s="5"/>
      <c r="L155" s="5"/>
      <c r="M155" s="5"/>
      <c r="P155" s="7">
        <f t="shared" ref="P155:R156" si="140">E155*$R$11*$I$4*$I$5/1000</f>
        <v>0.89570451935309703</v>
      </c>
      <c r="Q155" s="7">
        <f t="shared" si="140"/>
        <v>0.89570451935309703</v>
      </c>
      <c r="R155" s="39">
        <f t="shared" si="140"/>
        <v>0.89570451935309703</v>
      </c>
    </row>
    <row r="156" spans="1:18" x14ac:dyDescent="0.25">
      <c r="A156" s="31" t="s">
        <v>12</v>
      </c>
      <c r="B156" s="5">
        <v>956</v>
      </c>
      <c r="C156" s="5">
        <f>B156</f>
        <v>956</v>
      </c>
      <c r="D156" s="5">
        <f t="shared" ref="D156" si="141">C156</f>
        <v>956</v>
      </c>
      <c r="E156" s="5">
        <f t="shared" ref="E156" si="142">D156</f>
        <v>956</v>
      </c>
      <c r="F156" s="5">
        <f t="shared" ref="F156" si="143">E156</f>
        <v>956</v>
      </c>
      <c r="G156" s="5">
        <f t="shared" ref="G156" si="144">F156</f>
        <v>956</v>
      </c>
      <c r="H156" s="5"/>
      <c r="I156" s="5"/>
      <c r="J156" s="5"/>
      <c r="K156" s="5"/>
      <c r="L156" s="5"/>
      <c r="M156" s="5"/>
      <c r="P156" s="7">
        <f t="shared" si="140"/>
        <v>53.518345031347557</v>
      </c>
      <c r="Q156" s="7">
        <f t="shared" si="140"/>
        <v>53.518345031347557</v>
      </c>
      <c r="R156" s="39">
        <f t="shared" si="140"/>
        <v>53.518345031347557</v>
      </c>
    </row>
    <row r="157" spans="1:18" x14ac:dyDescent="0.25">
      <c r="A157" s="31" t="s">
        <v>13</v>
      </c>
      <c r="B157" s="5">
        <v>22596</v>
      </c>
      <c r="C157" s="5">
        <f>B157+I144+I148</f>
        <v>23866</v>
      </c>
      <c r="D157" s="5">
        <f>C157+J144+J148</f>
        <v>25048</v>
      </c>
      <c r="E157" s="5">
        <f>D157+K144+K148</f>
        <v>26247</v>
      </c>
      <c r="F157" s="5">
        <f>E157+L144+L148</f>
        <v>27469</v>
      </c>
      <c r="G157" s="5">
        <f>F157+M144+M148</f>
        <v>28718</v>
      </c>
      <c r="H157" s="5"/>
      <c r="I157" s="5"/>
      <c r="J157" s="5"/>
      <c r="K157" s="5"/>
      <c r="L157" s="5"/>
      <c r="M157" s="5"/>
      <c r="P157" s="7">
        <f>E157*$R$12*$I$4*$I$5/1000</f>
        <v>134.79264528797603</v>
      </c>
      <c r="Q157" s="7">
        <f>F157*$R$12*$I$4*$I$5/1000</f>
        <v>141.06828107651972</v>
      </c>
      <c r="R157" s="39">
        <f>G157*$R$12*$I$4*$I$5/1000</f>
        <v>147.48257657561223</v>
      </c>
    </row>
    <row r="158" spans="1:18" x14ac:dyDescent="0.25">
      <c r="A158" s="31" t="s">
        <v>14</v>
      </c>
      <c r="B158" s="5">
        <v>0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P158" s="7">
        <f t="shared" ref="P158:R159" si="145">E158*$R$10*$I$4*$I$5/1000</f>
        <v>0</v>
      </c>
      <c r="Q158" s="7">
        <f t="shared" si="145"/>
        <v>0</v>
      </c>
      <c r="R158" s="39">
        <f t="shared" si="145"/>
        <v>0</v>
      </c>
    </row>
    <row r="159" spans="1:18" x14ac:dyDescent="0.25">
      <c r="A159" s="31" t="s">
        <v>15</v>
      </c>
      <c r="B159" s="5">
        <v>0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P159" s="7">
        <f t="shared" si="145"/>
        <v>0</v>
      </c>
      <c r="Q159" s="7">
        <f t="shared" si="145"/>
        <v>0</v>
      </c>
      <c r="R159" s="39">
        <f t="shared" si="145"/>
        <v>0</v>
      </c>
    </row>
    <row r="160" spans="1:18" x14ac:dyDescent="0.25">
      <c r="A160" s="31" t="s">
        <v>16</v>
      </c>
      <c r="B160" s="5">
        <v>0</v>
      </c>
      <c r="C160" s="12"/>
      <c r="D160" s="8"/>
      <c r="E160" s="8"/>
      <c r="F160" s="8"/>
      <c r="G160" s="8"/>
      <c r="H160" s="5"/>
      <c r="I160" s="5"/>
      <c r="J160" s="5"/>
      <c r="K160" s="5"/>
      <c r="L160" s="5"/>
      <c r="M160" s="5"/>
      <c r="P160" s="7">
        <f>E160*$R$13*$I$4*$I$5/1000</f>
        <v>0</v>
      </c>
      <c r="Q160" s="7">
        <f>F160*$R$13*$I$4*$I$5/1000</f>
        <v>0</v>
      </c>
      <c r="R160" s="39">
        <f>G160*$R$13*$I$4*$I$5/1000</f>
        <v>0</v>
      </c>
    </row>
    <row r="161" spans="1:18" x14ac:dyDescent="0.25">
      <c r="A161" s="31" t="s">
        <v>17</v>
      </c>
      <c r="B161" s="5">
        <v>7</v>
      </c>
      <c r="C161" s="8">
        <f>B161-I144*B161/(B153+B154+B161)</f>
        <v>6.4970159942707086</v>
      </c>
      <c r="D161" s="8">
        <f>C161-J144*C161/(C153+C154+C161)</f>
        <v>6.0519614864327202</v>
      </c>
      <c r="E161" s="8">
        <f>D161-K144*D161/(D153+D154+D161)</f>
        <v>5.6069069785947319</v>
      </c>
      <c r="F161" s="8">
        <f>E161-L144*E161/(E153+E154+E161)</f>
        <v>5.1618524707567435</v>
      </c>
      <c r="G161" s="8">
        <f>F161-M144*F161/(F153+F154+F161)</f>
        <v>4.7167979629187551</v>
      </c>
      <c r="H161" s="5"/>
      <c r="I161" s="5"/>
      <c r="J161" s="5"/>
      <c r="K161" s="5"/>
      <c r="L161" s="5"/>
      <c r="M161" s="5"/>
      <c r="P161" s="7">
        <f>E161*$R$10*$I$4*$I$5/1000</f>
        <v>0.7265956327142401</v>
      </c>
      <c r="Q161" s="7">
        <f>F161*$R$10*$I$4*$I$5/1000</f>
        <v>0.66892129230705977</v>
      </c>
      <c r="R161" s="39">
        <f>G161*$R$10*$I$4*$I$5/1000</f>
        <v>0.61124695189987943</v>
      </c>
    </row>
    <row r="162" spans="1:18" x14ac:dyDescent="0.25">
      <c r="A162" s="31" t="s">
        <v>31</v>
      </c>
      <c r="B162" s="5">
        <v>36135</v>
      </c>
      <c r="C162" s="5">
        <f>SUM(C153:C161)</f>
        <v>36501.999999999993</v>
      </c>
      <c r="D162" s="5">
        <f t="shared" ref="D162:G162" si="146">SUM(D153:D161)</f>
        <v>36885</v>
      </c>
      <c r="E162" s="5">
        <f t="shared" si="146"/>
        <v>37285</v>
      </c>
      <c r="F162" s="5">
        <f t="shared" si="146"/>
        <v>37708</v>
      </c>
      <c r="G162" s="5">
        <f t="shared" si="146"/>
        <v>38157.999999999993</v>
      </c>
      <c r="H162" s="5"/>
      <c r="I162" s="5"/>
      <c r="J162" s="5"/>
      <c r="K162" s="5"/>
      <c r="L162" s="5"/>
      <c r="M162" s="5"/>
      <c r="P162" s="7">
        <f>SUM(P153:P161)</f>
        <v>1493.6534543129417</v>
      </c>
      <c r="Q162" s="7">
        <f t="shared" ref="Q162:R162" si="147">SUM(Q153:Q161)</f>
        <v>1396.387170687623</v>
      </c>
      <c r="R162" s="39">
        <f t="shared" si="147"/>
        <v>1299.2595467728531</v>
      </c>
    </row>
    <row r="163" spans="1:18" x14ac:dyDescent="0.25">
      <c r="A163" s="32" t="s">
        <v>8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>
        <f>P151+P162</f>
        <v>6291.2453223844177</v>
      </c>
      <c r="Q163" s="35">
        <f t="shared" ref="Q163:R163" si="148">Q151+Q162</f>
        <v>5855.4170467585009</v>
      </c>
      <c r="R163" s="41">
        <f t="shared" si="148"/>
        <v>5419.7935756882007</v>
      </c>
    </row>
    <row r="165" spans="1:18" x14ac:dyDescent="0.25">
      <c r="A165" s="25" t="s">
        <v>44</v>
      </c>
      <c r="B165" s="26" t="s">
        <v>33</v>
      </c>
      <c r="C165" s="47" t="s">
        <v>34</v>
      </c>
      <c r="D165" s="47"/>
      <c r="E165" s="47"/>
      <c r="F165" s="47"/>
      <c r="G165" s="47"/>
      <c r="H165" s="27"/>
      <c r="I165" s="38" t="s">
        <v>52</v>
      </c>
      <c r="J165" s="27"/>
      <c r="K165" s="27"/>
      <c r="L165" s="27"/>
      <c r="M165" s="27"/>
      <c r="N165" s="27"/>
      <c r="O165" s="27"/>
      <c r="P165" s="48" t="s">
        <v>32</v>
      </c>
      <c r="Q165" s="48"/>
      <c r="R165" s="49"/>
    </row>
    <row r="166" spans="1:18" x14ac:dyDescent="0.25">
      <c r="A166" s="29" t="s">
        <v>28</v>
      </c>
      <c r="B166" s="3">
        <v>2015</v>
      </c>
      <c r="C166" s="3">
        <v>2016</v>
      </c>
      <c r="D166" s="3">
        <v>2017</v>
      </c>
      <c r="E166" s="3">
        <v>2018</v>
      </c>
      <c r="F166" s="3">
        <v>2019</v>
      </c>
      <c r="G166" s="3">
        <v>2020</v>
      </c>
      <c r="I166" s="3">
        <v>2016</v>
      </c>
      <c r="J166" s="3">
        <v>2017</v>
      </c>
      <c r="K166" s="3">
        <v>2018</v>
      </c>
      <c r="L166" s="3">
        <v>2019</v>
      </c>
      <c r="M166" s="3">
        <v>2020</v>
      </c>
      <c r="P166" s="3">
        <v>2018</v>
      </c>
      <c r="Q166" s="3">
        <v>2019</v>
      </c>
      <c r="R166" s="30">
        <v>2020</v>
      </c>
    </row>
    <row r="167" spans="1:18" x14ac:dyDescent="0.25">
      <c r="A167" s="31" t="s">
        <v>9</v>
      </c>
      <c r="B167" s="5">
        <v>290</v>
      </c>
      <c r="C167" s="8">
        <f>B167-I169*B167/(B167+B168)</f>
        <v>282.47622377622378</v>
      </c>
      <c r="D167" s="8">
        <f>C167-J169*C167/(C167+C168)</f>
        <v>273.8776223776224</v>
      </c>
      <c r="E167" s="8">
        <f>D167-K169*D167/(D167+D168)</f>
        <v>264.20419580419582</v>
      </c>
      <c r="F167" s="8">
        <f>E167-L169*E167/(E167+E168)</f>
        <v>253.45594405594406</v>
      </c>
      <c r="G167" s="8">
        <f>F167-M169*F167/(F167+F168)</f>
        <v>242.34265734265733</v>
      </c>
      <c r="H167" s="5"/>
      <c r="I167" s="5">
        <v>35</v>
      </c>
      <c r="J167" s="5">
        <v>40</v>
      </c>
      <c r="K167" s="5">
        <v>45</v>
      </c>
      <c r="L167" s="5">
        <v>50</v>
      </c>
      <c r="M167" s="11">
        <v>50</v>
      </c>
      <c r="N167" s="3" t="s">
        <v>19</v>
      </c>
      <c r="P167" s="7">
        <f t="shared" ref="P167:R168" si="149">E167*$R$5*$I$4*$I$5/1000</f>
        <v>5358.5837853276907</v>
      </c>
      <c r="Q167" s="7">
        <f t="shared" si="149"/>
        <v>5140.5879758232632</v>
      </c>
      <c r="R167" s="39">
        <f t="shared" si="149"/>
        <v>4915.1885350526472</v>
      </c>
    </row>
    <row r="168" spans="1:18" x14ac:dyDescent="0.25">
      <c r="A168" s="31" t="s">
        <v>10</v>
      </c>
      <c r="B168" s="5">
        <v>425</v>
      </c>
      <c r="C168" s="8">
        <f>B168-I169*B168/(B167+B168)</f>
        <v>413.97377622377621</v>
      </c>
      <c r="D168" s="8">
        <f>C168-J169*C168/(C167+C168)</f>
        <v>401.3723776223776</v>
      </c>
      <c r="E168" s="8">
        <f>D168-K169*D168/(D167+D168)</f>
        <v>387.19580419580416</v>
      </c>
      <c r="F168" s="8">
        <f>E168-L169*E168/(E167+E168)</f>
        <v>371.44405594405589</v>
      </c>
      <c r="G168" s="8">
        <f>F168-M169*F168/(F167+F168)</f>
        <v>355.15734265734261</v>
      </c>
      <c r="H168" s="15"/>
      <c r="I168" s="18">
        <f>I167*94/200</f>
        <v>16.45</v>
      </c>
      <c r="J168" s="18">
        <f t="shared" ref="J168:L168" si="150">J167*94/200</f>
        <v>18.8</v>
      </c>
      <c r="K168" s="18">
        <f t="shared" si="150"/>
        <v>21.15</v>
      </c>
      <c r="L168" s="5">
        <f t="shared" si="150"/>
        <v>23.5</v>
      </c>
      <c r="M168" s="5">
        <f>M167*113/250</f>
        <v>22.6</v>
      </c>
      <c r="N168" s="5" t="s">
        <v>47</v>
      </c>
      <c r="P168" s="7">
        <f t="shared" si="149"/>
        <v>7853.0969267733381</v>
      </c>
      <c r="Q168" s="7">
        <f t="shared" si="149"/>
        <v>7533.6203093961594</v>
      </c>
      <c r="R168" s="39">
        <f t="shared" si="149"/>
        <v>7203.2935427495686</v>
      </c>
    </row>
    <row r="169" spans="1:18" x14ac:dyDescent="0.25">
      <c r="A169" s="31" t="s">
        <v>11</v>
      </c>
      <c r="B169" s="5">
        <v>0</v>
      </c>
      <c r="C169" s="5"/>
      <c r="D169" s="5"/>
      <c r="E169" s="5"/>
      <c r="F169" s="5"/>
      <c r="G169" s="5"/>
      <c r="H169" s="15"/>
      <c r="I169" s="18">
        <f>I167*106/200</f>
        <v>18.55</v>
      </c>
      <c r="J169" s="18">
        <f t="shared" ref="J169:L169" si="151">J167*106/200</f>
        <v>21.2</v>
      </c>
      <c r="K169" s="18">
        <f t="shared" si="151"/>
        <v>23.85</v>
      </c>
      <c r="L169" s="5">
        <f t="shared" si="151"/>
        <v>26.5</v>
      </c>
      <c r="M169" s="5">
        <f>M167*137/250</f>
        <v>27.4</v>
      </c>
      <c r="N169" s="5" t="s">
        <v>48</v>
      </c>
      <c r="P169" s="7">
        <f t="shared" ref="P169:R170" si="152">E169*$R$6*$I$4*$I$5/1000</f>
        <v>0</v>
      </c>
      <c r="Q169" s="7">
        <f t="shared" si="152"/>
        <v>0</v>
      </c>
      <c r="R169" s="39">
        <f t="shared" si="152"/>
        <v>0</v>
      </c>
    </row>
    <row r="170" spans="1:18" x14ac:dyDescent="0.25">
      <c r="A170" s="31" t="s">
        <v>12</v>
      </c>
      <c r="B170" s="5">
        <v>377</v>
      </c>
      <c r="C170" s="5">
        <f>B170</f>
        <v>377</v>
      </c>
      <c r="D170" s="5">
        <f t="shared" ref="D170" si="153">C170</f>
        <v>377</v>
      </c>
      <c r="E170" s="5">
        <f t="shared" ref="E170" si="154">D170</f>
        <v>377</v>
      </c>
      <c r="F170" s="5">
        <f t="shared" ref="F170" si="155">E170</f>
        <v>377</v>
      </c>
      <c r="G170" s="5">
        <f t="shared" ref="G170" si="156">F170</f>
        <v>377</v>
      </c>
      <c r="H170" s="15"/>
      <c r="I170" s="5">
        <v>2760</v>
      </c>
      <c r="J170" s="5">
        <v>3000</v>
      </c>
      <c r="K170" s="5">
        <f>J170*K167/J167</f>
        <v>3375</v>
      </c>
      <c r="L170" s="5">
        <f t="shared" ref="L170:M170" si="157">K170*L167/K167</f>
        <v>3750</v>
      </c>
      <c r="M170" s="5">
        <f t="shared" si="157"/>
        <v>3750</v>
      </c>
      <c r="N170" s="3" t="s">
        <v>18</v>
      </c>
      <c r="P170" s="7">
        <f t="shared" si="152"/>
        <v>680.12828877430081</v>
      </c>
      <c r="Q170" s="7">
        <f t="shared" si="152"/>
        <v>680.12828877430081</v>
      </c>
      <c r="R170" s="39">
        <f t="shared" si="152"/>
        <v>680.12828877430081</v>
      </c>
    </row>
    <row r="171" spans="1:18" x14ac:dyDescent="0.25">
      <c r="A171" s="31" t="s">
        <v>13</v>
      </c>
      <c r="B171" s="5">
        <v>1790</v>
      </c>
      <c r="C171" s="8">
        <f>B171+I167+I173</f>
        <v>1845.4545454545455</v>
      </c>
      <c r="D171" s="8">
        <f>C171+J167+J173</f>
        <v>1913.8636363636365</v>
      </c>
      <c r="E171" s="8">
        <f>D171+K167+K173</f>
        <v>1990.1136363636365</v>
      </c>
      <c r="F171" s="8">
        <f>E171+L167+L173</f>
        <v>2074.2045454545455</v>
      </c>
      <c r="G171" s="8">
        <f>F171+M167+M173</f>
        <v>2162.0833333333335</v>
      </c>
      <c r="H171" s="2"/>
      <c r="P171" s="7">
        <f>E171*$R$7*$I$4*$I$5/1000</f>
        <v>429.03506357827479</v>
      </c>
      <c r="Q171" s="7">
        <f>F171*$R$7*$I$4*$I$5/1000</f>
        <v>447.16365074483235</v>
      </c>
      <c r="R171" s="39">
        <f>G171*$R$7*$I$4*$I$5/1000</f>
        <v>466.10884093691067</v>
      </c>
    </row>
    <row r="172" spans="1:18" x14ac:dyDescent="0.25">
      <c r="A172" s="31" t="s">
        <v>14</v>
      </c>
      <c r="B172" s="5">
        <v>368</v>
      </c>
      <c r="C172" s="8">
        <f>B172-I168</f>
        <v>351.55</v>
      </c>
      <c r="D172" s="8">
        <f>C172-J168</f>
        <v>332.75</v>
      </c>
      <c r="E172" s="8">
        <f>D172-K168</f>
        <v>311.60000000000002</v>
      </c>
      <c r="F172" s="8">
        <f>E172-L168</f>
        <v>288.10000000000002</v>
      </c>
      <c r="G172" s="8">
        <f>F172-M168</f>
        <v>265.5</v>
      </c>
      <c r="H172" s="2"/>
      <c r="I172" s="3" t="s">
        <v>37</v>
      </c>
      <c r="P172" s="7">
        <f t="shared" ref="P172:R175" si="158">E172*$R$4*$I$4*$I$5/1000</f>
        <v>8931.4610173716737</v>
      </c>
      <c r="Q172" s="7">
        <f t="shared" si="158"/>
        <v>8257.8752217740002</v>
      </c>
      <c r="R172" s="39">
        <f t="shared" si="158"/>
        <v>7610.0863289864528</v>
      </c>
    </row>
    <row r="173" spans="1:18" x14ac:dyDescent="0.25">
      <c r="A173" s="31" t="s">
        <v>15</v>
      </c>
      <c r="B173" s="5">
        <v>0</v>
      </c>
      <c r="C173" s="5"/>
      <c r="D173" s="5"/>
      <c r="E173" s="5"/>
      <c r="F173" s="5"/>
      <c r="G173" s="5"/>
      <c r="I173" s="18">
        <f>108000/5280</f>
        <v>20.454545454545453</v>
      </c>
      <c r="J173" s="18">
        <f>150000/5280</f>
        <v>28.40909090909091</v>
      </c>
      <c r="K173" s="18">
        <f>165000/5280</f>
        <v>31.25</v>
      </c>
      <c r="L173" s="18">
        <f>180000/5280</f>
        <v>34.090909090909093</v>
      </c>
      <c r="M173" s="18">
        <f>200000/5280</f>
        <v>37.878787878787875</v>
      </c>
      <c r="N173" s="3" t="s">
        <v>19</v>
      </c>
      <c r="P173" s="7">
        <f t="shared" si="158"/>
        <v>0</v>
      </c>
      <c r="Q173" s="7">
        <f t="shared" si="158"/>
        <v>0</v>
      </c>
      <c r="R173" s="39">
        <f t="shared" si="158"/>
        <v>0</v>
      </c>
    </row>
    <row r="174" spans="1:18" x14ac:dyDescent="0.25">
      <c r="A174" s="31" t="s">
        <v>16</v>
      </c>
      <c r="B174" s="5">
        <v>0</v>
      </c>
      <c r="C174" s="5"/>
      <c r="D174" s="5"/>
      <c r="E174" s="5"/>
      <c r="F174" s="5"/>
      <c r="G174" s="5"/>
      <c r="I174" s="5">
        <v>2300</v>
      </c>
      <c r="J174" s="5">
        <v>2800</v>
      </c>
      <c r="K174" s="5">
        <v>3000</v>
      </c>
      <c r="L174" s="5">
        <v>3400</v>
      </c>
      <c r="M174" s="5">
        <v>3700</v>
      </c>
      <c r="N174" s="3" t="s">
        <v>18</v>
      </c>
      <c r="P174" s="7">
        <f t="shared" si="158"/>
        <v>0</v>
      </c>
      <c r="Q174" s="7">
        <f t="shared" si="158"/>
        <v>0</v>
      </c>
      <c r="R174" s="39">
        <f t="shared" si="158"/>
        <v>0</v>
      </c>
    </row>
    <row r="175" spans="1:18" x14ac:dyDescent="0.25">
      <c r="A175" s="31" t="s">
        <v>17</v>
      </c>
      <c r="B175" s="5">
        <v>0</v>
      </c>
      <c r="C175" s="5"/>
      <c r="D175" s="5"/>
      <c r="E175" s="5"/>
      <c r="F175" s="5"/>
      <c r="G175" s="5"/>
      <c r="P175" s="7">
        <f t="shared" si="158"/>
        <v>0</v>
      </c>
      <c r="Q175" s="7">
        <f t="shared" si="158"/>
        <v>0</v>
      </c>
      <c r="R175" s="39">
        <f t="shared" si="158"/>
        <v>0</v>
      </c>
    </row>
    <row r="176" spans="1:18" x14ac:dyDescent="0.25">
      <c r="A176" s="31" t="s">
        <v>30</v>
      </c>
      <c r="B176" s="5">
        <v>3250</v>
      </c>
      <c r="C176" s="8">
        <f>SUM(C167:C175)</f>
        <v>3270.454545454546</v>
      </c>
      <c r="D176" s="8">
        <f t="shared" ref="D176:G176" si="159">SUM(D167:D175)</f>
        <v>3298.8636363636365</v>
      </c>
      <c r="E176" s="8">
        <f t="shared" si="159"/>
        <v>3330.1136363636365</v>
      </c>
      <c r="F176" s="8">
        <f t="shared" si="159"/>
        <v>3364.2045454545455</v>
      </c>
      <c r="G176" s="8">
        <f t="shared" si="159"/>
        <v>3402.0833333333335</v>
      </c>
      <c r="P176" s="8">
        <f>SUM(P167:P175)</f>
        <v>23252.305081825274</v>
      </c>
      <c r="Q176" s="8">
        <f t="shared" ref="Q176:R176" si="160">SUM(Q167:Q175)</f>
        <v>22059.375446512553</v>
      </c>
      <c r="R176" s="40">
        <f t="shared" si="160"/>
        <v>20874.80553649988</v>
      </c>
    </row>
    <row r="177" spans="1:18" x14ac:dyDescent="0.25">
      <c r="A177" s="29" t="s">
        <v>29</v>
      </c>
      <c r="B177" s="5"/>
      <c r="C177" s="5"/>
      <c r="D177" s="5"/>
      <c r="E177" s="5"/>
      <c r="F177" s="5"/>
      <c r="G177" s="5"/>
      <c r="K177" s="7"/>
      <c r="L177" s="7"/>
      <c r="M177" s="7"/>
      <c r="P177" s="8"/>
      <c r="Q177" s="8"/>
      <c r="R177" s="40"/>
    </row>
    <row r="178" spans="1:18" x14ac:dyDescent="0.25">
      <c r="A178" s="31" t="s">
        <v>9</v>
      </c>
      <c r="B178" s="5">
        <v>23045</v>
      </c>
      <c r="C178" s="8">
        <f>B178-I170*B178/(B178+B179+B183+B185)</f>
        <v>21298.783219855042</v>
      </c>
      <c r="D178" s="8">
        <f>C178-J170*C178/(C178+C179+C183+C185)</f>
        <v>19400.721502306173</v>
      </c>
      <c r="E178" s="8">
        <f>D178-K170*D178/(D178+D179+D183+D185)</f>
        <v>17265.402070063694</v>
      </c>
      <c r="F178" s="8">
        <f>E178-L170*E178/(E178+E179+E183+E185)</f>
        <v>14892.824923127608</v>
      </c>
      <c r="G178" s="8">
        <f>F178-M170*F178/(F178+F179+F183+F185)</f>
        <v>12520.247776191522</v>
      </c>
      <c r="K178" s="7"/>
      <c r="L178" s="7"/>
      <c r="M178" s="7"/>
      <c r="P178" s="7">
        <f t="shared" ref="P178:R179" si="161">E178*$R$10*$I$4*$I$5/1000</f>
        <v>2237.4128532997074</v>
      </c>
      <c r="Q178" s="7">
        <f t="shared" si="161"/>
        <v>1929.9520375910372</v>
      </c>
      <c r="R178" s="39">
        <f t="shared" si="161"/>
        <v>1622.4912218823667</v>
      </c>
    </row>
    <row r="179" spans="1:18" x14ac:dyDescent="0.25">
      <c r="A179" s="31" t="s">
        <v>10</v>
      </c>
      <c r="B179" s="5">
        <v>12641</v>
      </c>
      <c r="C179" s="8">
        <f>B179-I170*B179/(B178+B179+B183+B185)</f>
        <v>11683.138150669887</v>
      </c>
      <c r="D179" s="8">
        <f>C179-J170*C179/(C178+C179+C183+C185)</f>
        <v>10641.983966615418</v>
      </c>
      <c r="E179" s="8">
        <f>D179-K170*D179/(D178+D179+D183+D185)</f>
        <v>9470.6855095541396</v>
      </c>
      <c r="F179" s="8">
        <f>E179-L170*E179/(E178+E179+E183+E185)</f>
        <v>8169.2427794860523</v>
      </c>
      <c r="G179" s="8">
        <f>F179-M170*F179/(F178+F179+F183+F185)</f>
        <v>6867.8000494179651</v>
      </c>
      <c r="P179" s="7">
        <f t="shared" si="161"/>
        <v>1227.3003201805861</v>
      </c>
      <c r="Q179" s="7">
        <f t="shared" si="161"/>
        <v>1058.6471558771229</v>
      </c>
      <c r="R179" s="39">
        <f t="shared" si="161"/>
        <v>889.99399157366031</v>
      </c>
    </row>
    <row r="180" spans="1:18" x14ac:dyDescent="0.25">
      <c r="A180" s="31" t="s">
        <v>11</v>
      </c>
      <c r="B180" s="5">
        <v>0</v>
      </c>
      <c r="C180" s="5"/>
      <c r="D180" s="5"/>
      <c r="E180" s="5"/>
      <c r="F180" s="5"/>
      <c r="G180" s="5"/>
      <c r="P180" s="7">
        <f t="shared" ref="P180:R181" si="162">E180*$R$11*$I$4*$I$5/1000</f>
        <v>0</v>
      </c>
      <c r="Q180" s="7">
        <f t="shared" si="162"/>
        <v>0</v>
      </c>
      <c r="R180" s="39">
        <f t="shared" si="162"/>
        <v>0</v>
      </c>
    </row>
    <row r="181" spans="1:18" x14ac:dyDescent="0.25">
      <c r="A181" s="31" t="s">
        <v>12</v>
      </c>
      <c r="B181" s="5">
        <v>19087</v>
      </c>
      <c r="C181" s="5">
        <f>B181</f>
        <v>19087</v>
      </c>
      <c r="D181" s="5">
        <f t="shared" ref="D181" si="163">C181</f>
        <v>19087</v>
      </c>
      <c r="E181" s="5">
        <f t="shared" ref="E181" si="164">D181</f>
        <v>19087</v>
      </c>
      <c r="F181" s="5">
        <f t="shared" ref="F181" si="165">E181</f>
        <v>19087</v>
      </c>
      <c r="G181" s="5">
        <f t="shared" ref="G181" si="166">F181</f>
        <v>19087</v>
      </c>
      <c r="P181" s="7">
        <f t="shared" si="162"/>
        <v>1068.5195100557853</v>
      </c>
      <c r="Q181" s="7">
        <f t="shared" si="162"/>
        <v>1068.5195100557853</v>
      </c>
      <c r="R181" s="39">
        <f t="shared" si="162"/>
        <v>1068.5195100557853</v>
      </c>
    </row>
    <row r="182" spans="1:18" x14ac:dyDescent="0.25">
      <c r="A182" s="31" t="s">
        <v>13</v>
      </c>
      <c r="B182" s="5">
        <v>144753</v>
      </c>
      <c r="C182" s="5">
        <f>B182+I170+I174</f>
        <v>149813</v>
      </c>
      <c r="D182" s="5">
        <f>C182+J170+J174</f>
        <v>155613</v>
      </c>
      <c r="E182" s="5">
        <f>D182+K170+K174</f>
        <v>161988</v>
      </c>
      <c r="F182" s="5">
        <f>E182+L170+L174</f>
        <v>169138</v>
      </c>
      <c r="G182" s="8">
        <f>F182+M170+M174</f>
        <v>176588</v>
      </c>
      <c r="P182" s="7">
        <f>E182*$R$12*$I$4*$I$5/1000</f>
        <v>831.89663675500651</v>
      </c>
      <c r="Q182" s="7">
        <f>F182*$R$12*$I$4*$I$5/1000</f>
        <v>868.61578232627289</v>
      </c>
      <c r="R182" s="39">
        <f>G182*$R$12*$I$4*$I$5/1000</f>
        <v>906.87559134808191</v>
      </c>
    </row>
    <row r="183" spans="1:18" x14ac:dyDescent="0.25">
      <c r="A183" s="31" t="s">
        <v>14</v>
      </c>
      <c r="B183" s="5">
        <v>8</v>
      </c>
      <c r="C183" s="8">
        <f>B183-I170*B183/(B178+B179+B183+B185)</f>
        <v>7.3938062815725898</v>
      </c>
      <c r="D183" s="8">
        <f>C183-J170*C183/(C178+C179+C183+C185)</f>
        <v>6.7349000658906215</v>
      </c>
      <c r="E183" s="8">
        <f>D183-K170*D183/(D178+D179+D183+D185)</f>
        <v>5.9936305732484074</v>
      </c>
      <c r="F183" s="8">
        <f>E183-L170*E183/(E178+E179+E183+E185)</f>
        <v>5.1699978036459475</v>
      </c>
      <c r="G183" s="8">
        <f>F183-M170*F183/(F178+F179+F183+F185)</f>
        <v>4.3463650340434876</v>
      </c>
      <c r="P183" s="7">
        <f t="shared" ref="P183:R184" si="167">E183*$R$10*$I$4*$I$5/1000</f>
        <v>0.77671090589705627</v>
      </c>
      <c r="Q183" s="7">
        <f t="shared" si="167"/>
        <v>0.66997684099493593</v>
      </c>
      <c r="R183" s="39">
        <f t="shared" si="167"/>
        <v>0.56324277609281559</v>
      </c>
    </row>
    <row r="184" spans="1:18" x14ac:dyDescent="0.25">
      <c r="A184" s="31" t="s">
        <v>15</v>
      </c>
      <c r="B184" s="5">
        <v>0</v>
      </c>
      <c r="C184" s="5"/>
      <c r="D184" s="5"/>
      <c r="E184" s="5"/>
      <c r="F184" s="5"/>
      <c r="G184" s="5"/>
      <c r="P184" s="7">
        <f t="shared" si="167"/>
        <v>0</v>
      </c>
      <c r="Q184" s="7">
        <f t="shared" si="167"/>
        <v>0</v>
      </c>
      <c r="R184" s="39">
        <f t="shared" si="167"/>
        <v>0</v>
      </c>
    </row>
    <row r="185" spans="1:18" x14ac:dyDescent="0.25">
      <c r="A185" s="31" t="s">
        <v>16</v>
      </c>
      <c r="B185" s="5">
        <v>730</v>
      </c>
      <c r="C185" s="12">
        <f>B185-I170*B185/(B178+B179+B183+B185)</f>
        <v>674.6848231934988</v>
      </c>
      <c r="D185" s="12">
        <f>C185-J170*C185/(C178+C179+C183+C185)</f>
        <v>614.55963101251928</v>
      </c>
      <c r="E185" s="12">
        <f>D185-K170*D185/(D178+D179+D183+D185)</f>
        <v>546.91878980891727</v>
      </c>
      <c r="F185" s="12">
        <f>E185-L170*E185/(E178+E179+E183+E185)</f>
        <v>471.76229958269278</v>
      </c>
      <c r="G185" s="12">
        <f>F185-M170*F185/(F178+F179+F183+F185)</f>
        <v>396.60580935646828</v>
      </c>
      <c r="P185" s="7">
        <f>E185*$R$13*$I$4*$I$5/1000</f>
        <v>66.680338853503187</v>
      </c>
      <c r="Q185" s="7">
        <f>F185*$R$13*$I$4*$I$5/1000</f>
        <v>57.517259565121904</v>
      </c>
      <c r="R185" s="39">
        <f>G185*$R$13*$I$4*$I$5/1000</f>
        <v>48.354180276740607</v>
      </c>
    </row>
    <row r="186" spans="1:18" x14ac:dyDescent="0.25">
      <c r="A186" s="31" t="s">
        <v>17</v>
      </c>
      <c r="B186" s="5">
        <v>0</v>
      </c>
      <c r="C186" s="5"/>
      <c r="D186" s="5"/>
      <c r="E186" s="5"/>
      <c r="F186" s="5"/>
      <c r="G186" s="5"/>
      <c r="P186" s="7">
        <f>E186*$R$10*$I$4*$I$5/1000</f>
        <v>0</v>
      </c>
      <c r="Q186" s="7">
        <f>F186*$R$10*$I$4*$I$5/1000</f>
        <v>0</v>
      </c>
      <c r="R186" s="39">
        <f>G186*$R$10*$I$4*$I$5/1000</f>
        <v>0</v>
      </c>
    </row>
    <row r="187" spans="1:18" x14ac:dyDescent="0.25">
      <c r="A187" s="31" t="s">
        <v>31</v>
      </c>
      <c r="B187" s="5">
        <v>200264</v>
      </c>
      <c r="C187" s="5">
        <f>SUM(C178:C186)</f>
        <v>202564</v>
      </c>
      <c r="D187" s="5">
        <f t="shared" ref="D187:G187" si="168">SUM(D178:D186)</f>
        <v>205364</v>
      </c>
      <c r="E187" s="5">
        <f t="shared" si="168"/>
        <v>208364</v>
      </c>
      <c r="F187" s="5">
        <f t="shared" si="168"/>
        <v>211763.99999999997</v>
      </c>
      <c r="G187" s="5">
        <f t="shared" si="168"/>
        <v>215464</v>
      </c>
      <c r="P187" s="7">
        <f>SUM(P178:P186)</f>
        <v>5432.5863700504851</v>
      </c>
      <c r="Q187" s="7">
        <f t="shared" ref="Q187:R187" si="169">SUM(Q178:Q186)</f>
        <v>4983.9217222563357</v>
      </c>
      <c r="R187" s="39">
        <f t="shared" si="169"/>
        <v>4536.7977379127278</v>
      </c>
    </row>
    <row r="188" spans="1:18" x14ac:dyDescent="0.25">
      <c r="A188" s="32" t="s">
        <v>8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5">
        <f>P176+P187</f>
        <v>28684.891451875759</v>
      </c>
      <c r="Q188" s="35">
        <f t="shared" ref="Q188:R188" si="170">Q176+Q187</f>
        <v>27043.297168768888</v>
      </c>
      <c r="R188" s="41">
        <f t="shared" si="170"/>
        <v>25411.603274412606</v>
      </c>
    </row>
  </sheetData>
  <mergeCells count="20">
    <mergeCell ref="A1:U1"/>
    <mergeCell ref="E2:G2"/>
    <mergeCell ref="C90:G90"/>
    <mergeCell ref="P90:R90"/>
    <mergeCell ref="C15:G15"/>
    <mergeCell ref="P15:R15"/>
    <mergeCell ref="C40:G40"/>
    <mergeCell ref="P40:R40"/>
    <mergeCell ref="T15:U15"/>
    <mergeCell ref="T40:U40"/>
    <mergeCell ref="C65:G65"/>
    <mergeCell ref="P65:R65"/>
    <mergeCell ref="C115:G115"/>
    <mergeCell ref="P115:R115"/>
    <mergeCell ref="I17:I18"/>
    <mergeCell ref="C140:G140"/>
    <mergeCell ref="P140:R140"/>
    <mergeCell ref="C165:G165"/>
    <mergeCell ref="P165:R165"/>
    <mergeCell ref="M92:M93"/>
  </mergeCells>
  <pageMargins left="0.5" right="0.5" top="0.5" bottom="0.25" header="0.3" footer="0.3"/>
  <pageSetup scale="45" fitToHeight="0" orientation="portrait" r:id="rId1"/>
  <headerFooter>
    <oddFooter>&amp;R&amp;P</oddFooter>
  </headerFooter>
  <rowBreaks count="1" manualBreakCount="1"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2016-11-25T01:10:52Z</dcterms:created>
  <dcterms:modified xsi:type="dcterms:W3CDTF">2016-12-09T17:01:22Z</dcterms:modified>
</coreProperties>
</file>